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5.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6.xml" ContentType="application/vnd.openxmlformats-officedocument.drawing+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7.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ables/table2.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bcr.sharepoint.com/sites/MercadodeCapitales/Documentos compartidos/Controles/ONs - Resumen de emisiones/2025/"/>
    </mc:Choice>
  </mc:AlternateContent>
  <xr:revisionPtr revIDLastSave="159" documentId="14_{C70FB2FD-B6A9-4EA7-8B11-6BA0B301AF99}" xr6:coauthVersionLast="47" xr6:coauthVersionMax="47" xr10:uidLastSave="{9871A6F4-73BA-4905-9A38-63CBFAE3543E}"/>
  <bookViews>
    <workbookView xWindow="-120" yWindow="-120" windowWidth="20730" windowHeight="11160" activeTab="5" xr2:uid="{00000000-000D-0000-FFFF-FFFF00000000}"/>
  </bookViews>
  <sheets>
    <sheet name="Reporte" sheetId="18" r:id="rId1"/>
    <sheet name="Reporte - Oscuro" sheetId="53" state="hidden" r:id="rId2"/>
    <sheet name="SGR TD" sheetId="56" state="hidden" r:id="rId3"/>
    <sheet name="ENTIDADES DE GARANTIA" sheetId="55" r:id="rId4"/>
    <sheet name="ARS" sheetId="3" r:id="rId5"/>
    <sheet name="USD" sheetId="44" r:id="rId6"/>
    <sheet name="Ej-ARS" sheetId="10" state="hidden" r:id="rId7"/>
    <sheet name="Ej-USD" sheetId="45" state="hidden" r:id="rId8"/>
    <sheet name="Datos" sheetId="57" r:id="rId9"/>
    <sheet name="Tasas-TC" sheetId="4" state="hidden" r:id="rId10"/>
    <sheet name="Análisis" sheetId="54" state="hidden" r:id="rId11"/>
  </sheets>
  <definedNames>
    <definedName name="_xlnm._FilterDatabase" localSheetId="10" hidden="1">Análisis!$C$8:$F$128</definedName>
  </definedNames>
  <calcPr calcId="191029"/>
  <pivotCaches>
    <pivotCache cacheId="0"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39" i="44" l="1"/>
  <c r="J669" i="44"/>
  <c r="J25" i="44"/>
  <c r="J1067" i="3"/>
  <c r="J1025" i="3"/>
  <c r="L60" i="57"/>
  <c r="P60" i="57" s="1"/>
  <c r="N60" i="57" l="1"/>
  <c r="J1004" i="3"/>
  <c r="B2145" i="4"/>
  <c r="H1052" i="3"/>
  <c r="D1056" i="3"/>
  <c r="K1055" i="3"/>
  <c r="K1054" i="3"/>
  <c r="K1053" i="3"/>
  <c r="L1053" i="3" s="1"/>
  <c r="L1052" i="3"/>
  <c r="M1052" i="3" s="1"/>
  <c r="J1046" i="3"/>
  <c r="C2090" i="4"/>
  <c r="L1054" i="3" l="1"/>
  <c r="L1055" i="3" s="1"/>
  <c r="K1056" i="3"/>
  <c r="C2036" i="4"/>
  <c r="L1056" i="3" l="1"/>
  <c r="C1961" i="4"/>
  <c r="B1807" i="4" l="1"/>
  <c r="B1808" i="4" s="1"/>
  <c r="B1809" i="4" s="1"/>
  <c r="B1810" i="4" s="1"/>
  <c r="B1811" i="4" s="1"/>
  <c r="B1812" i="4" s="1"/>
  <c r="L66" i="57" l="1"/>
  <c r="N66" i="57" s="1"/>
  <c r="G661" i="44"/>
  <c r="D661" i="44"/>
  <c r="J651" i="44"/>
  <c r="J652" i="44"/>
  <c r="H658" i="44"/>
  <c r="K666" i="44"/>
  <c r="K665" i="44"/>
  <c r="K664" i="44"/>
  <c r="K663" i="44"/>
  <c r="K662" i="44"/>
  <c r="K661" i="44"/>
  <c r="K660" i="44"/>
  <c r="K659" i="44"/>
  <c r="L658" i="44"/>
  <c r="M658" i="44" s="1"/>
  <c r="P66" i="57" l="1"/>
  <c r="J659" i="44"/>
  <c r="M659" i="44" s="1"/>
  <c r="L659" i="44"/>
  <c r="L660" i="44" s="1"/>
  <c r="L661" i="44" s="1"/>
  <c r="L662" i="44" s="1"/>
  <c r="L663" i="44" s="1"/>
  <c r="L664" i="44" s="1"/>
  <c r="L665" i="44" s="1"/>
  <c r="L666" i="44" s="1"/>
  <c r="H731" i="44"/>
  <c r="J724" i="44"/>
  <c r="F729" i="44" s="1"/>
  <c r="D734" i="44"/>
  <c r="M735" i="44"/>
  <c r="M734" i="44"/>
  <c r="M733" i="44"/>
  <c r="L731" i="44"/>
  <c r="J760" i="44"/>
  <c r="H766" i="44"/>
  <c r="H767" i="44" s="1"/>
  <c r="L766" i="44"/>
  <c r="K767" i="44" s="1"/>
  <c r="K768" i="44"/>
  <c r="D769" i="44"/>
  <c r="K769" i="44"/>
  <c r="K770" i="44"/>
  <c r="K771" i="44"/>
  <c r="K772" i="44"/>
  <c r="J11" i="44"/>
  <c r="L17" i="44"/>
  <c r="M17" i="44" s="1"/>
  <c r="H17" i="44"/>
  <c r="D20" i="44"/>
  <c r="J660" i="44" l="1"/>
  <c r="M660" i="44" s="1"/>
  <c r="M731" i="44"/>
  <c r="M766" i="44"/>
  <c r="H768" i="44"/>
  <c r="L767" i="44"/>
  <c r="L768" i="44" s="1"/>
  <c r="L769" i="44" s="1"/>
  <c r="L770" i="44" s="1"/>
  <c r="L771" i="44" s="1"/>
  <c r="L772" i="44" s="1"/>
  <c r="J767" i="44"/>
  <c r="M767" i="44" s="1"/>
  <c r="L18" i="44"/>
  <c r="L19" i="44" s="1"/>
  <c r="L20" i="44" s="1"/>
  <c r="L21" i="44" s="1"/>
  <c r="J661" i="44" l="1"/>
  <c r="M661" i="44" s="1"/>
  <c r="J768" i="44"/>
  <c r="M768" i="44" s="1"/>
  <c r="H769" i="44"/>
  <c r="J230" i="44"/>
  <c r="H236" i="44"/>
  <c r="D241" i="44"/>
  <c r="L236" i="44"/>
  <c r="J267" i="44"/>
  <c r="H273" i="44"/>
  <c r="L273" i="44"/>
  <c r="M273" i="44" s="1"/>
  <c r="D276" i="44"/>
  <c r="K279" i="44"/>
  <c r="K280" i="44"/>
  <c r="K281" i="44"/>
  <c r="K282" i="44"/>
  <c r="K283" i="44"/>
  <c r="K284" i="44"/>
  <c r="K285" i="44"/>
  <c r="J662" i="44" l="1"/>
  <c r="M662" i="44" s="1"/>
  <c r="H770" i="44"/>
  <c r="J769" i="44"/>
  <c r="M769" i="44" s="1"/>
  <c r="J237" i="44"/>
  <c r="J274" i="44"/>
  <c r="M236" i="44"/>
  <c r="J663" i="44" l="1"/>
  <c r="M663" i="44" s="1"/>
  <c r="J770" i="44"/>
  <c r="M770" i="44" s="1"/>
  <c r="H771" i="44"/>
  <c r="C1554" i="4"/>
  <c r="J664" i="44" l="1"/>
  <c r="M664" i="44" s="1"/>
  <c r="H772" i="44"/>
  <c r="J771" i="44"/>
  <c r="M771" i="44" s="1"/>
  <c r="J1129" i="44"/>
  <c r="H1135" i="44"/>
  <c r="D1138" i="44"/>
  <c r="L1135" i="44"/>
  <c r="J1163" i="44"/>
  <c r="H1169" i="44"/>
  <c r="H1170" i="44" s="1"/>
  <c r="H1171" i="44" s="1"/>
  <c r="L1169" i="44"/>
  <c r="K1179" i="44" s="1"/>
  <c r="D1172" i="44"/>
  <c r="J665" i="44" l="1"/>
  <c r="M665" i="44" s="1"/>
  <c r="J772" i="44"/>
  <c r="M772" i="44" s="1"/>
  <c r="K1178" i="44"/>
  <c r="K1181" i="44"/>
  <c r="K1174" i="44"/>
  <c r="K1171" i="44"/>
  <c r="K1175" i="44"/>
  <c r="K1172" i="44"/>
  <c r="K1177" i="44"/>
  <c r="K1170" i="44"/>
  <c r="L1170" i="44" s="1"/>
  <c r="K1176" i="44"/>
  <c r="J1136" i="44"/>
  <c r="K1173" i="44"/>
  <c r="M1169" i="44"/>
  <c r="K1180" i="44"/>
  <c r="M1135" i="44"/>
  <c r="H1172" i="44"/>
  <c r="J1170" i="44"/>
  <c r="J666" i="44" l="1"/>
  <c r="M666" i="44" s="1"/>
  <c r="L1171" i="44"/>
  <c r="L1172" i="44" s="1"/>
  <c r="L1173" i="44" s="1"/>
  <c r="L1174" i="44" s="1"/>
  <c r="L1175" i="44" s="1"/>
  <c r="L1176" i="44" s="1"/>
  <c r="L1177" i="44" s="1"/>
  <c r="L1178" i="44" s="1"/>
  <c r="L1179" i="44" s="1"/>
  <c r="L1180" i="44" s="1"/>
  <c r="L1181" i="44" s="1"/>
  <c r="M1170" i="44"/>
  <c r="J1171" i="44"/>
  <c r="M1171" i="44" s="1"/>
  <c r="H1173" i="44"/>
  <c r="D475" i="44"/>
  <c r="J1172" i="44" l="1"/>
  <c r="M1172" i="44" s="1"/>
  <c r="H1174" i="44"/>
  <c r="J1173" i="44"/>
  <c r="M1173" i="44" s="1"/>
  <c r="F55" i="18"/>
  <c r="O9" i="3"/>
  <c r="D231" i="3"/>
  <c r="H1175" i="44" l="1"/>
  <c r="J1174" i="44"/>
  <c r="M1174" i="44" s="1"/>
  <c r="D1807" i="44"/>
  <c r="D1766" i="44"/>
  <c r="D1728" i="44"/>
  <c r="D1692" i="44"/>
  <c r="D1655" i="44"/>
  <c r="D1610" i="44"/>
  <c r="D1574" i="44"/>
  <c r="D1536" i="44"/>
  <c r="D1500" i="44"/>
  <c r="D1412" i="44"/>
  <c r="D1372" i="44"/>
  <c r="D1328" i="44"/>
  <c r="D1286" i="44"/>
  <c r="D1251" i="44"/>
  <c r="D1215" i="44"/>
  <c r="D1097" i="44"/>
  <c r="D1060" i="44"/>
  <c r="G968" i="44"/>
  <c r="D968" i="44"/>
  <c r="D922" i="44"/>
  <c r="D882" i="44"/>
  <c r="D841" i="44"/>
  <c r="D806" i="44"/>
  <c r="D699" i="44"/>
  <c r="D624" i="44"/>
  <c r="D588" i="44"/>
  <c r="D553" i="44"/>
  <c r="J1175" i="44" l="1"/>
  <c r="M1175" i="44" s="1"/>
  <c r="H1176" i="44"/>
  <c r="D1454" i="44"/>
  <c r="J163" i="57"/>
  <c r="H1177" i="44" l="1"/>
  <c r="J1176" i="44"/>
  <c r="M1176" i="44" s="1"/>
  <c r="D512" i="44"/>
  <c r="D439" i="44"/>
  <c r="D395" i="44"/>
  <c r="D353" i="44"/>
  <c r="D321" i="44"/>
  <c r="D199" i="44"/>
  <c r="D164" i="44"/>
  <c r="D90" i="44"/>
  <c r="D127" i="44"/>
  <c r="D55" i="44"/>
  <c r="J1177" i="44" l="1"/>
  <c r="M1177" i="44" s="1"/>
  <c r="H1178" i="44"/>
  <c r="D2538" i="3"/>
  <c r="D2492" i="3"/>
  <c r="D2454" i="3"/>
  <c r="D2418" i="3"/>
  <c r="D2376" i="3"/>
  <c r="D2342" i="3"/>
  <c r="D2306" i="3"/>
  <c r="D2267" i="3"/>
  <c r="D2233" i="3"/>
  <c r="D2199" i="3"/>
  <c r="D2165" i="3"/>
  <c r="D2130" i="3"/>
  <c r="D2095" i="3"/>
  <c r="D2057" i="3"/>
  <c r="D2015" i="3"/>
  <c r="D1973" i="3"/>
  <c r="D1937" i="3"/>
  <c r="D1901" i="3"/>
  <c r="D1865" i="3"/>
  <c r="D1827" i="3"/>
  <c r="D1787" i="3"/>
  <c r="D1750" i="3"/>
  <c r="D1719" i="3"/>
  <c r="D1679" i="3"/>
  <c r="D1615" i="3"/>
  <c r="D1576" i="3"/>
  <c r="D1534" i="3"/>
  <c r="D1499" i="3"/>
  <c r="D1461" i="3"/>
  <c r="D1428" i="3"/>
  <c r="D1393" i="3"/>
  <c r="D1360" i="3"/>
  <c r="D1317" i="3"/>
  <c r="D1285" i="3"/>
  <c r="D1251" i="3"/>
  <c r="D1215" i="3"/>
  <c r="D1179" i="3"/>
  <c r="D1136" i="3"/>
  <c r="D1098" i="3"/>
  <c r="D1014" i="3"/>
  <c r="D971" i="3"/>
  <c r="D933" i="3"/>
  <c r="D894" i="3"/>
  <c r="D857" i="3"/>
  <c r="D813" i="3"/>
  <c r="D776" i="3"/>
  <c r="D742" i="3"/>
  <c r="D706" i="3"/>
  <c r="D667" i="3"/>
  <c r="D624" i="3"/>
  <c r="D576" i="3"/>
  <c r="D535" i="3"/>
  <c r="D500" i="3"/>
  <c r="D466" i="3"/>
  <c r="G428" i="3"/>
  <c r="D428" i="3"/>
  <c r="D395" i="3"/>
  <c r="D350" i="3"/>
  <c r="D308" i="3"/>
  <c r="D265" i="3"/>
  <c r="D198" i="3"/>
  <c r="D158" i="3"/>
  <c r="D91" i="3"/>
  <c r="D55" i="3"/>
  <c r="D124" i="3"/>
  <c r="D19" i="3"/>
  <c r="K66" i="57" l="1"/>
  <c r="D40" i="55"/>
  <c r="G40" i="55"/>
  <c r="K68" i="57"/>
  <c r="K69" i="57"/>
  <c r="K2" i="57"/>
  <c r="K17" i="57"/>
  <c r="K85" i="57"/>
  <c r="K132" i="57"/>
  <c r="K144" i="57"/>
  <c r="K56" i="57"/>
  <c r="K43" i="57"/>
  <c r="K131" i="57"/>
  <c r="K143" i="57"/>
  <c r="K108" i="57"/>
  <c r="K142" i="57"/>
  <c r="K16" i="57"/>
  <c r="K110" i="57"/>
  <c r="K76" i="57"/>
  <c r="K55" i="57"/>
  <c r="K78" i="57"/>
  <c r="K77" i="57"/>
  <c r="K71" i="57"/>
  <c r="K61" i="57"/>
  <c r="K45" i="57"/>
  <c r="K40" i="57"/>
  <c r="J1178" i="44"/>
  <c r="M1178" i="44" s="1"/>
  <c r="H1179" i="44"/>
  <c r="E163" i="57"/>
  <c r="M2" i="57" l="1"/>
  <c r="O2" i="57"/>
  <c r="M69" i="57"/>
  <c r="O69" i="57"/>
  <c r="M68" i="57"/>
  <c r="O68" i="57"/>
  <c r="M66" i="57"/>
  <c r="O66" i="57"/>
  <c r="M108" i="57"/>
  <c r="O108" i="57"/>
  <c r="M77" i="57"/>
  <c r="O77" i="57"/>
  <c r="M143" i="57"/>
  <c r="O143" i="57"/>
  <c r="M61" i="57"/>
  <c r="O61" i="57"/>
  <c r="M78" i="57"/>
  <c r="O78" i="57"/>
  <c r="M131" i="57"/>
  <c r="O131" i="57"/>
  <c r="M142" i="57"/>
  <c r="O142" i="57"/>
  <c r="M55" i="57"/>
  <c r="O55" i="57"/>
  <c r="M43" i="57"/>
  <c r="O43" i="57"/>
  <c r="M71" i="57"/>
  <c r="O71" i="57"/>
  <c r="M76" i="57"/>
  <c r="O76" i="57"/>
  <c r="M56" i="57"/>
  <c r="O56" i="57"/>
  <c r="M40" i="57"/>
  <c r="O40" i="57"/>
  <c r="M110" i="57"/>
  <c r="O110" i="57"/>
  <c r="M144" i="57"/>
  <c r="O144" i="57"/>
  <c r="M45" i="57"/>
  <c r="O45" i="57"/>
  <c r="M16" i="57"/>
  <c r="O16" i="57"/>
  <c r="M132" i="57"/>
  <c r="O132" i="57"/>
  <c r="M85" i="57"/>
  <c r="O85" i="57"/>
  <c r="O17" i="57"/>
  <c r="M17" i="57"/>
  <c r="H1180" i="44"/>
  <c r="J1179" i="44"/>
  <c r="M1179" i="44" s="1"/>
  <c r="D507" i="44"/>
  <c r="H1181" i="44" l="1"/>
  <c r="J1180" i="44"/>
  <c r="M1180" i="44" s="1"/>
  <c r="H154" i="3"/>
  <c r="J310" i="44"/>
  <c r="H316" i="44"/>
  <c r="H317" i="44" s="1"/>
  <c r="L316" i="44"/>
  <c r="M316" i="44" s="1"/>
  <c r="K317" i="44"/>
  <c r="K318" i="44"/>
  <c r="K319" i="44"/>
  <c r="K320" i="44"/>
  <c r="J1740" i="3"/>
  <c r="K1752" i="3"/>
  <c r="K1747" i="3"/>
  <c r="L1746" i="3"/>
  <c r="H1746" i="3"/>
  <c r="J1778" i="3"/>
  <c r="H1784" i="3"/>
  <c r="L1784" i="3"/>
  <c r="K1785" i="3"/>
  <c r="M1785" i="3" s="1"/>
  <c r="K1786" i="3"/>
  <c r="M1786" i="3" s="1"/>
  <c r="K1787" i="3"/>
  <c r="M1787" i="3" s="1"/>
  <c r="K1788" i="3"/>
  <c r="M1788" i="3" s="1"/>
  <c r="K1789" i="3"/>
  <c r="M1789" i="3" s="1"/>
  <c r="K1790" i="3"/>
  <c r="M1790" i="3" s="1"/>
  <c r="K1791" i="3"/>
  <c r="M1791" i="3" s="1"/>
  <c r="K1792" i="3"/>
  <c r="M1792" i="3" s="1"/>
  <c r="K1793" i="3"/>
  <c r="M1793" i="3" s="1"/>
  <c r="L967" i="3"/>
  <c r="L968" i="3" s="1"/>
  <c r="K979" i="3"/>
  <c r="K969" i="3"/>
  <c r="H967" i="3"/>
  <c r="J961" i="3"/>
  <c r="H1010" i="3"/>
  <c r="L1010" i="3"/>
  <c r="K1014" i="3" s="1"/>
  <c r="K1011" i="3"/>
  <c r="K1012" i="3"/>
  <c r="K1013" i="3"/>
  <c r="K1015" i="3"/>
  <c r="K1016" i="3"/>
  <c r="K1017" i="3"/>
  <c r="K1019" i="3"/>
  <c r="K1020" i="3"/>
  <c r="K1021" i="3"/>
  <c r="K930" i="3"/>
  <c r="L929" i="3"/>
  <c r="H929" i="3"/>
  <c r="J923" i="3"/>
  <c r="J1088" i="3"/>
  <c r="H1094" i="3"/>
  <c r="L1094" i="3"/>
  <c r="K1095" i="3" s="1"/>
  <c r="J767" i="3"/>
  <c r="H773" i="3"/>
  <c r="H774" i="3" s="1"/>
  <c r="L773" i="3"/>
  <c r="K774" i="3"/>
  <c r="K775" i="3"/>
  <c r="K776" i="3"/>
  <c r="K777" i="3"/>
  <c r="K778" i="3"/>
  <c r="K779" i="3"/>
  <c r="O770" i="3"/>
  <c r="K581" i="3"/>
  <c r="H568" i="3"/>
  <c r="L568" i="3"/>
  <c r="L569" i="3" s="1"/>
  <c r="J562" i="3"/>
  <c r="J1181" i="44" l="1"/>
  <c r="M1181" i="44" s="1"/>
  <c r="L1011" i="3"/>
  <c r="L1012" i="3" s="1"/>
  <c r="K1022" i="3"/>
  <c r="K1018" i="3"/>
  <c r="L1785" i="3"/>
  <c r="L1786" i="3" s="1"/>
  <c r="L1787" i="3" s="1"/>
  <c r="L1788" i="3" s="1"/>
  <c r="L1789" i="3" s="1"/>
  <c r="L1790" i="3" s="1"/>
  <c r="L1791" i="3" s="1"/>
  <c r="L1792" i="3" s="1"/>
  <c r="L1793" i="3" s="1"/>
  <c r="J317" i="44"/>
  <c r="M317" i="44" s="1"/>
  <c r="H318" i="44"/>
  <c r="L317" i="44"/>
  <c r="L318" i="44" s="1"/>
  <c r="L319" i="44" s="1"/>
  <c r="L320" i="44" s="1"/>
  <c r="M1746" i="3"/>
  <c r="L1747" i="3"/>
  <c r="L1748" i="3" s="1"/>
  <c r="M1784" i="3"/>
  <c r="L930" i="3"/>
  <c r="L931" i="3" s="1"/>
  <c r="H1785" i="3"/>
  <c r="H1786" i="3" s="1"/>
  <c r="H1787" i="3" s="1"/>
  <c r="H1788" i="3" s="1"/>
  <c r="H1789" i="3" s="1"/>
  <c r="H1790" i="3" s="1"/>
  <c r="H1791" i="3" s="1"/>
  <c r="H1792" i="3" s="1"/>
  <c r="H1793" i="3" s="1"/>
  <c r="L969" i="3"/>
  <c r="L970" i="3" s="1"/>
  <c r="M967" i="3"/>
  <c r="M1010" i="3"/>
  <c r="M1094" i="3"/>
  <c r="M929" i="3"/>
  <c r="L1095" i="3"/>
  <c r="L1096" i="3" s="1"/>
  <c r="L774" i="3"/>
  <c r="L775" i="3" s="1"/>
  <c r="L776" i="3" s="1"/>
  <c r="L777" i="3" s="1"/>
  <c r="L778" i="3" s="1"/>
  <c r="L779" i="3" s="1"/>
  <c r="M773" i="3"/>
  <c r="H775" i="3"/>
  <c r="J774" i="3"/>
  <c r="M774" i="3" s="1"/>
  <c r="L570" i="3"/>
  <c r="M568" i="3"/>
  <c r="H319" i="44" l="1"/>
  <c r="J318" i="44"/>
  <c r="M318" i="44" s="1"/>
  <c r="L1749" i="3"/>
  <c r="L971" i="3"/>
  <c r="L1013" i="3"/>
  <c r="L932" i="3"/>
  <c r="L1097" i="3"/>
  <c r="H776" i="3"/>
  <c r="J775" i="3"/>
  <c r="M775" i="3" s="1"/>
  <c r="L571" i="3"/>
  <c r="L154" i="3"/>
  <c r="J148" i="3"/>
  <c r="K155" i="3" l="1"/>
  <c r="L155" i="3" s="1"/>
  <c r="L156" i="3" s="1"/>
  <c r="H320" i="44"/>
  <c r="J319" i="44"/>
  <c r="M319" i="44" s="1"/>
  <c r="L972" i="3"/>
  <c r="L1750" i="3"/>
  <c r="L1014" i="3"/>
  <c r="L933" i="3"/>
  <c r="L1098" i="3"/>
  <c r="J776" i="3"/>
  <c r="M776" i="3" s="1"/>
  <c r="H777" i="3"/>
  <c r="K159" i="3"/>
  <c r="L572" i="3"/>
  <c r="M154" i="3"/>
  <c r="J320" i="44" l="1"/>
  <c r="M320" i="44" s="1"/>
  <c r="L973" i="3"/>
  <c r="L1751" i="3"/>
  <c r="L1015" i="3"/>
  <c r="L1099" i="3"/>
  <c r="H778" i="3"/>
  <c r="L573" i="3"/>
  <c r="L157" i="3"/>
  <c r="L974" i="3" l="1"/>
  <c r="L1752" i="3"/>
  <c r="L1016" i="3"/>
  <c r="L1100" i="3"/>
  <c r="H779" i="3"/>
  <c r="L574" i="3"/>
  <c r="L158" i="3"/>
  <c r="L975" i="3" l="1"/>
  <c r="L1017" i="3"/>
  <c r="L575" i="3"/>
  <c r="L159" i="3"/>
  <c r="L976" i="3" l="1"/>
  <c r="L1018" i="3"/>
  <c r="L576" i="3"/>
  <c r="L977" i="3" l="1"/>
  <c r="L1019" i="3"/>
  <c r="L577" i="3"/>
  <c r="J118" i="44"/>
  <c r="H2534" i="3"/>
  <c r="J1817" i="3"/>
  <c r="L978" i="3" l="1"/>
  <c r="L1020" i="3"/>
  <c r="L578" i="3"/>
  <c r="L979" i="3" l="1"/>
  <c r="L1021" i="3"/>
  <c r="L579" i="3"/>
  <c r="H124" i="44"/>
  <c r="L124" i="44"/>
  <c r="K274" i="44" s="1"/>
  <c r="J2528" i="3"/>
  <c r="M274" i="44" l="1"/>
  <c r="L274" i="44"/>
  <c r="K126" i="44"/>
  <c r="K127" i="44"/>
  <c r="K128" i="44"/>
  <c r="K125" i="44"/>
  <c r="L125" i="44" s="1"/>
  <c r="M124" i="44"/>
  <c r="J125" i="44"/>
  <c r="L1022" i="3"/>
  <c r="L580" i="3"/>
  <c r="H1823" i="3"/>
  <c r="J275" i="44" l="1"/>
  <c r="M275" i="44" s="1"/>
  <c r="L275" i="44"/>
  <c r="M125" i="44"/>
  <c r="L126" i="44"/>
  <c r="J126" i="44"/>
  <c r="M126" i="44" s="1"/>
  <c r="L581" i="3"/>
  <c r="J276" i="44" l="1"/>
  <c r="M276" i="44" s="1"/>
  <c r="L276" i="44"/>
  <c r="L127" i="44"/>
  <c r="J128" i="44" s="1"/>
  <c r="J127" i="44"/>
  <c r="M127" i="44" s="1"/>
  <c r="L582" i="3"/>
  <c r="L277" i="44" l="1"/>
  <c r="J277" i="44"/>
  <c r="M277" i="44" s="1"/>
  <c r="L128" i="44"/>
  <c r="M128" i="44"/>
  <c r="L583" i="3"/>
  <c r="K1830" i="3"/>
  <c r="K1828" i="3"/>
  <c r="K1826" i="3"/>
  <c r="K1825" i="3"/>
  <c r="K1824" i="3"/>
  <c r="L1823" i="3"/>
  <c r="K2541" i="3"/>
  <c r="K2539" i="3"/>
  <c r="K2537" i="3"/>
  <c r="K2536" i="3"/>
  <c r="K2535" i="3"/>
  <c r="L2534" i="3"/>
  <c r="L278" i="44" l="1"/>
  <c r="J278" i="44"/>
  <c r="M278" i="44" s="1"/>
  <c r="L584" i="3"/>
  <c r="M1823" i="3"/>
  <c r="K1831" i="3"/>
  <c r="K1829" i="3"/>
  <c r="K1827" i="3"/>
  <c r="L1824" i="3"/>
  <c r="L1825" i="3" s="1"/>
  <c r="M2534" i="3"/>
  <c r="K2538" i="3"/>
  <c r="K2542" i="3"/>
  <c r="K2540" i="3"/>
  <c r="L2535" i="3"/>
  <c r="L279" i="44" l="1"/>
  <c r="J279" i="44"/>
  <c r="M279" i="44" s="1"/>
  <c r="L585" i="3"/>
  <c r="P2390" i="3"/>
  <c r="O2390" i="3"/>
  <c r="L1826" i="3"/>
  <c r="L2536" i="3"/>
  <c r="J280" i="44" l="1"/>
  <c r="M280" i="44" s="1"/>
  <c r="L280" i="44"/>
  <c r="L586" i="3"/>
  <c r="L1827" i="3"/>
  <c r="L2537" i="3"/>
  <c r="J10" i="3"/>
  <c r="H16" i="3"/>
  <c r="H17" i="3" s="1"/>
  <c r="H18" i="3" s="1"/>
  <c r="H19" i="3" s="1"/>
  <c r="H20" i="3" s="1"/>
  <c r="L16" i="3"/>
  <c r="M16" i="3" s="1"/>
  <c r="L281" i="44" l="1"/>
  <c r="J281" i="44"/>
  <c r="M281" i="44" s="1"/>
  <c r="L587" i="3"/>
  <c r="K17" i="3"/>
  <c r="L17" i="3" s="1"/>
  <c r="K20" i="3"/>
  <c r="K19" i="3"/>
  <c r="K18" i="3"/>
  <c r="L1828" i="3"/>
  <c r="L2538" i="3"/>
  <c r="P16" i="3"/>
  <c r="O16" i="3"/>
  <c r="L282" i="44" l="1"/>
  <c r="J282" i="44"/>
  <c r="M282" i="44" s="1"/>
  <c r="L588" i="3"/>
  <c r="L1829" i="3"/>
  <c r="L2539" i="3"/>
  <c r="L18" i="3"/>
  <c r="J283" i="44" l="1"/>
  <c r="M283" i="44" s="1"/>
  <c r="L283" i="44"/>
  <c r="L589" i="3"/>
  <c r="L1830" i="3"/>
  <c r="L2540" i="3"/>
  <c r="L19" i="3"/>
  <c r="J284" i="44" l="1"/>
  <c r="M284" i="44" s="1"/>
  <c r="L284" i="44"/>
  <c r="L590" i="3"/>
  <c r="L1831" i="3"/>
  <c r="L2541" i="3"/>
  <c r="L20" i="3"/>
  <c r="J285" i="44" l="1"/>
  <c r="M285" i="44" s="1"/>
  <c r="L285" i="44"/>
  <c r="L591" i="3"/>
  <c r="L2542" i="3"/>
  <c r="K704" i="3"/>
  <c r="K705" i="3"/>
  <c r="K706" i="3"/>
  <c r="K703" i="3"/>
  <c r="J696" i="3" l="1"/>
  <c r="L702" i="3"/>
  <c r="M702" i="3" s="1"/>
  <c r="O624" i="3" s="1"/>
  <c r="H702" i="3"/>
  <c r="O617" i="3"/>
  <c r="H1212" i="3"/>
  <c r="H1213" i="3" s="1" a="1"/>
  <c r="H1213" i="3" s="1"/>
  <c r="J1206" i="3"/>
  <c r="K1214" i="3"/>
  <c r="K1215" i="3"/>
  <c r="K1216" i="3"/>
  <c r="K1217" i="3"/>
  <c r="K1213" i="3"/>
  <c r="L1212" i="3"/>
  <c r="M1212" i="3" s="1"/>
  <c r="O1091" i="3"/>
  <c r="H1214" i="3" l="1" a="1"/>
  <c r="H1214" i="3" s="1"/>
  <c r="L703" i="3"/>
  <c r="P1098" i="3"/>
  <c r="O1098" i="3"/>
  <c r="L1213" i="3"/>
  <c r="L1214" i="3" s="1"/>
  <c r="L1215" i="3" s="1"/>
  <c r="L1216" i="3" s="1"/>
  <c r="L1217" i="3" s="1"/>
  <c r="L704" i="3" l="1"/>
  <c r="H1215" i="3" a="1"/>
  <c r="H1215" i="3" s="1"/>
  <c r="K2343" i="3"/>
  <c r="K2339" i="3"/>
  <c r="K2340" i="3"/>
  <c r="K2341" i="3"/>
  <c r="K2342" i="3"/>
  <c r="K2338" i="3"/>
  <c r="H2337" i="3"/>
  <c r="H2338" i="3" s="1"/>
  <c r="J2331" i="3"/>
  <c r="L2337" i="3"/>
  <c r="M2337" i="3" s="1"/>
  <c r="O2179" i="3"/>
  <c r="B1478" i="4"/>
  <c r="B1479" i="4" s="1"/>
  <c r="C1479" i="4" l="1"/>
  <c r="C1480" i="4" s="1"/>
  <c r="C1481" i="4" s="1"/>
  <c r="C1482" i="4" s="1"/>
  <c r="C1483" i="4" s="1"/>
  <c r="C1484" i="4" s="1"/>
  <c r="C1485" i="4" s="1"/>
  <c r="C1486" i="4" s="1"/>
  <c r="C1487" i="4" s="1"/>
  <c r="C1488" i="4" s="1"/>
  <c r="C1489" i="4" s="1"/>
  <c r="C1490" i="4" s="1"/>
  <c r="C1491" i="4" s="1"/>
  <c r="C1492" i="4" s="1"/>
  <c r="C1493" i="4" s="1"/>
  <c r="C1494" i="4" s="1"/>
  <c r="C1495" i="4" s="1"/>
  <c r="C1496" i="4" s="1"/>
  <c r="C1497" i="4" s="1"/>
  <c r="C1499" i="4" s="1"/>
  <c r="C1500" i="4" s="1"/>
  <c r="C1501" i="4" s="1"/>
  <c r="C1502" i="4" s="1"/>
  <c r="C1504" i="4" s="1"/>
  <c r="C1505" i="4" s="1"/>
  <c r="C1506" i="4" s="1"/>
  <c r="C1507" i="4" s="1"/>
  <c r="C1509" i="4" s="1"/>
  <c r="C1510" i="4" s="1"/>
  <c r="C1511" i="4" s="1"/>
  <c r="C1512" i="4" s="1"/>
  <c r="C1514" i="4" s="1"/>
  <c r="C1515" i="4" s="1"/>
  <c r="C1516" i="4" s="1"/>
  <c r="C1517" i="4" s="1"/>
  <c r="C1519" i="4" s="1"/>
  <c r="C1520" i="4" s="1"/>
  <c r="C1521" i="4" s="1"/>
  <c r="C1522" i="4" s="1"/>
  <c r="C1523" i="4" s="1"/>
  <c r="C1524" i="4" s="1"/>
  <c r="C1525" i="4" s="1"/>
  <c r="C1527" i="4" s="1"/>
  <c r="C1528" i="4" s="1"/>
  <c r="C1529" i="4" s="1"/>
  <c r="C1530" i="4" s="1"/>
  <c r="C1531" i="4" s="1"/>
  <c r="C1532" i="4" s="1"/>
  <c r="C1534" i="4" s="1"/>
  <c r="C1535" i="4" s="1"/>
  <c r="C1536" i="4" s="1"/>
  <c r="C1537" i="4" s="1"/>
  <c r="C1539" i="4" s="1"/>
  <c r="C1540" i="4" s="1"/>
  <c r="C1541" i="4" s="1"/>
  <c r="C1542" i="4" s="1"/>
  <c r="C1544" i="4" s="1"/>
  <c r="C1545" i="4" s="1"/>
  <c r="C1546" i="4" s="1"/>
  <c r="C1547" i="4" s="1"/>
  <c r="C1549" i="4" s="1"/>
  <c r="C1550" i="4" s="1"/>
  <c r="C1551" i="4" s="1"/>
  <c r="B1480" i="4"/>
  <c r="B1481" i="4" s="1"/>
  <c r="B1482" i="4" s="1"/>
  <c r="B1483" i="4" s="1"/>
  <c r="L705" i="3"/>
  <c r="L706" i="3" s="1"/>
  <c r="H2339" i="3"/>
  <c r="H1216" i="3" a="1"/>
  <c r="H1216" i="3" s="1"/>
  <c r="L2338" i="3"/>
  <c r="L2339" i="3" s="1"/>
  <c r="L2340" i="3" s="1"/>
  <c r="L2341" i="3" s="1"/>
  <c r="L2342" i="3" s="1"/>
  <c r="L2343" i="3" s="1"/>
  <c r="P2185" i="3"/>
  <c r="O2185" i="3"/>
  <c r="O1591" i="3"/>
  <c r="O1416" i="3"/>
  <c r="O1166" i="3"/>
  <c r="O652" i="3"/>
  <c r="O183" i="3"/>
  <c r="O2106" i="3"/>
  <c r="J1276" i="3"/>
  <c r="C1555" i="4" l="1"/>
  <c r="C1556" i="4" s="1"/>
  <c r="C1557" i="4" s="1"/>
  <c r="C1559" i="4" s="1"/>
  <c r="C1560" i="4" s="1"/>
  <c r="C1561" i="4" s="1"/>
  <c r="C1562" i="4" s="1"/>
  <c r="C1564" i="4" s="1"/>
  <c r="C1565" i="4" s="1"/>
  <c r="C1566" i="4" s="1"/>
  <c r="C1567" i="4" s="1"/>
  <c r="C1569" i="4" s="1"/>
  <c r="C1570" i="4" s="1"/>
  <c r="C1571" i="4" s="1"/>
  <c r="C1572" i="4" s="1"/>
  <c r="C1574" i="4" s="1"/>
  <c r="C1575" i="4" s="1"/>
  <c r="C1576" i="4" s="1"/>
  <c r="C1577" i="4" s="1"/>
  <c r="C1578" i="4" s="1"/>
  <c r="C1579" i="4" s="1"/>
  <c r="C1580" i="4" s="1"/>
  <c r="C1582" i="4" s="1"/>
  <c r="C1584" i="4" s="1"/>
  <c r="C1585" i="4" s="1"/>
  <c r="C1586" i="4" s="1"/>
  <c r="C1587" i="4" s="1"/>
  <c r="C1589" i="4" s="1"/>
  <c r="C1590" i="4" s="1"/>
  <c r="C1591" i="4" s="1"/>
  <c r="C1592" i="4" s="1"/>
  <c r="C1594" i="4" s="1"/>
  <c r="C1595" i="4" s="1"/>
  <c r="C1596" i="4" s="1"/>
  <c r="C1597" i="4" s="1"/>
  <c r="C1599" i="4" s="1"/>
  <c r="C1600" i="4" s="1"/>
  <c r="C1601" i="4" s="1"/>
  <c r="C1602" i="4" s="1"/>
  <c r="C1603" i="4" s="1"/>
  <c r="C1605" i="4" s="1"/>
  <c r="C1606" i="4" s="1"/>
  <c r="C1607" i="4" s="1"/>
  <c r="C1608" i="4" s="1"/>
  <c r="C1610" i="4" s="1"/>
  <c r="C1612" i="4" s="1"/>
  <c r="C1613" i="4" s="1"/>
  <c r="C1614" i="4" s="1"/>
  <c r="C1615" i="4" s="1"/>
  <c r="C1616" i="4" s="1"/>
  <c r="C1617" i="4" s="1"/>
  <c r="C1618" i="4" s="1"/>
  <c r="C1620" i="4" s="1"/>
  <c r="C1621" i="4" s="1"/>
  <c r="C1622" i="4" s="1"/>
  <c r="C1624" i="4" s="1"/>
  <c r="C1625" i="4" s="1"/>
  <c r="C1626" i="4" s="1"/>
  <c r="C1627" i="4" s="1"/>
  <c r="C1629" i="4" s="1"/>
  <c r="C1630" i="4" s="1"/>
  <c r="C1631" i="4" s="1"/>
  <c r="C1632" i="4" s="1"/>
  <c r="C1633" i="4" s="1"/>
  <c r="C1635" i="4" s="1"/>
  <c r="C1636" i="4" s="1"/>
  <c r="C1637" i="4" s="1"/>
  <c r="C1638" i="4" s="1"/>
  <c r="C1640" i="4" s="1"/>
  <c r="C1641" i="4" s="1"/>
  <c r="C1642" i="4" s="1"/>
  <c r="C1644" i="4" s="1"/>
  <c r="C1645" i="4" s="1"/>
  <c r="C1647" i="4" s="1"/>
  <c r="C1648" i="4" s="1"/>
  <c r="C1649" i="4" s="1"/>
  <c r="C1650" i="4" s="1"/>
  <c r="C1651" i="4" s="1"/>
  <c r="C1652" i="4" s="1"/>
  <c r="C1653" i="4" s="1"/>
  <c r="C1655" i="4" s="1"/>
  <c r="C1656" i="4" s="1"/>
  <c r="C1657" i="4" s="1"/>
  <c r="C1659" i="4" s="1"/>
  <c r="C1660" i="4" s="1"/>
  <c r="C1661" i="4" s="1"/>
  <c r="C1662" i="4" s="1"/>
  <c r="C1664" i="4" s="1"/>
  <c r="C1665" i="4" s="1"/>
  <c r="C1666" i="4" s="1"/>
  <c r="C1667" i="4" s="1"/>
  <c r="C1668" i="4" s="1"/>
  <c r="C1670" i="4" s="1"/>
  <c r="C1671" i="4" s="1"/>
  <c r="C1672" i="4" s="1"/>
  <c r="C1674" i="4" s="1"/>
  <c r="C1675" i="4" s="1"/>
  <c r="C1676" i="4" s="1"/>
  <c r="C1677" i="4" s="1"/>
  <c r="C1679" i="4" s="1"/>
  <c r="C1680" i="4" s="1"/>
  <c r="C1681" i="4" s="1"/>
  <c r="C1682" i="4" s="1"/>
  <c r="C1684" i="4" s="1"/>
  <c r="C1685" i="4" s="1"/>
  <c r="C1686" i="4" s="1"/>
  <c r="C1687" i="4" s="1"/>
  <c r="C1688" i="4" s="1"/>
  <c r="C1690" i="4" s="1"/>
  <c r="C1691" i="4" s="1"/>
  <c r="C1692" i="4" s="1"/>
  <c r="C1693" i="4" s="1"/>
  <c r="C1694" i="4" s="1"/>
  <c r="C1695" i="4" s="1"/>
  <c r="C1696" i="4" s="1"/>
  <c r="C1697" i="4" s="1"/>
  <c r="C1699" i="4" s="1"/>
  <c r="C1700" i="4" s="1"/>
  <c r="C1701" i="4" s="1"/>
  <c r="C1702" i="4" s="1"/>
  <c r="C1703" i="4" s="1"/>
  <c r="C1704" i="4" s="1"/>
  <c r="C1705" i="4" s="1"/>
  <c r="C1706" i="4" s="1"/>
  <c r="C1707" i="4" s="1"/>
  <c r="C1709" i="4" s="1"/>
  <c r="C1710" i="4" s="1"/>
  <c r="C1711" i="4" s="1"/>
  <c r="C1712" i="4" s="1"/>
  <c r="C1713" i="4" s="1"/>
  <c r="C1715" i="4" s="1"/>
  <c r="C1716" i="4" s="1"/>
  <c r="C1717" i="4" s="1"/>
  <c r="C1718" i="4" s="1"/>
  <c r="C1720" i="4" s="1"/>
  <c r="C1721" i="4" s="1"/>
  <c r="C1722" i="4" s="1"/>
  <c r="C1724" i="4" s="1"/>
  <c r="C1725" i="4" s="1"/>
  <c r="C1726" i="4" s="1"/>
  <c r="C1727" i="4" s="1"/>
  <c r="C1728" i="4" s="1"/>
  <c r="C1730" i="4" s="1"/>
  <c r="C1731" i="4" s="1"/>
  <c r="C1732" i="4" s="1"/>
  <c r="C1733" i="4" s="1"/>
  <c r="C1734" i="4" s="1"/>
  <c r="C1735" i="4" s="1"/>
  <c r="C1736" i="4" s="1"/>
  <c r="C1737" i="4" s="1"/>
  <c r="C1738" i="4" s="1"/>
  <c r="C1740" i="4" s="1"/>
  <c r="C1741" i="4" s="1"/>
  <c r="C1742" i="4" s="1"/>
  <c r="C1743" i="4" s="1"/>
  <c r="C1745" i="4" s="1"/>
  <c r="C1746" i="4" s="1"/>
  <c r="C1747" i="4" s="1"/>
  <c r="C1748" i="4" s="1"/>
  <c r="C1749" i="4" s="1"/>
  <c r="C1750" i="4" s="1"/>
  <c r="C1751" i="4" s="1"/>
  <c r="C1752" i="4" s="1"/>
  <c r="C1753" i="4" s="1"/>
  <c r="C1755" i="4" s="1"/>
  <c r="C1756" i="4" s="1"/>
  <c r="C1757" i="4" s="1"/>
  <c r="C1758" i="4" s="1"/>
  <c r="C1760" i="4" s="1"/>
  <c r="C1761" i="4" s="1"/>
  <c r="C1762" i="4" s="1"/>
  <c r="C1763" i="4" s="1"/>
  <c r="C1764" i="4" s="1"/>
  <c r="C1765" i="4" s="1"/>
  <c r="C1766" i="4" s="1"/>
  <c r="C1767" i="4" s="1"/>
  <c r="C1769" i="4" s="1"/>
  <c r="C1770" i="4" s="1"/>
  <c r="C1771" i="4" s="1"/>
  <c r="C1772" i="4" s="1"/>
  <c r="C1774" i="4" s="1"/>
  <c r="C1775" i="4" s="1"/>
  <c r="C1776" i="4" s="1"/>
  <c r="C1777" i="4" s="1"/>
  <c r="C1778" i="4" s="1"/>
  <c r="C1779" i="4" s="1"/>
  <c r="C1780" i="4" s="1"/>
  <c r="C1781" i="4" s="1"/>
  <c r="C1782" i="4" s="1"/>
  <c r="C1783" i="4" s="1"/>
  <c r="C1785" i="4" s="1"/>
  <c r="C1786" i="4" s="1"/>
  <c r="C1788" i="4" s="1"/>
  <c r="C1789" i="4" s="1"/>
  <c r="C1790" i="4" s="1"/>
  <c r="C1791" i="4" s="1"/>
  <c r="C1792" i="4" s="1"/>
  <c r="C1794" i="4" s="1"/>
  <c r="C1795" i="4" s="1"/>
  <c r="C1796" i="4" s="1"/>
  <c r="C1797" i="4" s="1"/>
  <c r="C1798" i="4" s="1"/>
  <c r="C1799" i="4" s="1"/>
  <c r="C1800" i="4" s="1"/>
  <c r="C1801" i="4" s="1"/>
  <c r="C1803" i="4" s="1"/>
  <c r="C1804" i="4" s="1"/>
  <c r="C1805" i="4" s="1"/>
  <c r="C1806" i="4" s="1"/>
  <c r="C1807" i="4" s="1"/>
  <c r="C1809" i="4" s="1"/>
  <c r="C1810" i="4" s="1"/>
  <c r="C1811" i="4" s="1"/>
  <c r="C1812" i="4" s="1"/>
  <c r="C1813" i="4" s="1"/>
  <c r="C1815" i="4" s="1"/>
  <c r="C1816" i="4" s="1"/>
  <c r="C1817" i="4" s="1"/>
  <c r="C1818" i="4" s="1"/>
  <c r="C1820" i="4" s="1"/>
  <c r="C1821" i="4" s="1"/>
  <c r="C1822" i="4" s="1"/>
  <c r="C1823" i="4" s="1"/>
  <c r="C1825" i="4" s="1"/>
  <c r="C1826" i="4" s="1"/>
  <c r="C1827" i="4" s="1"/>
  <c r="C1828" i="4" s="1"/>
  <c r="C1830" i="4" s="1"/>
  <c r="C1831" i="4" s="1"/>
  <c r="C1832" i="4" s="1"/>
  <c r="C1834" i="4" s="1"/>
  <c r="C1835" i="4" s="1"/>
  <c r="C1836" i="4" s="1"/>
  <c r="C1837" i="4" s="1"/>
  <c r="C1838" i="4" s="1"/>
  <c r="C1840" i="4" s="1"/>
  <c r="C1841" i="4" s="1"/>
  <c r="C1842" i="4" s="1"/>
  <c r="C1843" i="4" s="1"/>
  <c r="C1845" i="4" s="1"/>
  <c r="C1846" i="4" s="1"/>
  <c r="C1847" i="4" s="1"/>
  <c r="C1848" i="4" s="1"/>
  <c r="C1850" i="4" s="1"/>
  <c r="C1851" i="4" s="1"/>
  <c r="C1852" i="4" s="1"/>
  <c r="C1853" i="4" s="1"/>
  <c r="C1855" i="4" s="1"/>
  <c r="C1856" i="4" s="1"/>
  <c r="C1857" i="4" s="1"/>
  <c r="C1858" i="4" s="1"/>
  <c r="C1860" i="4" s="1"/>
  <c r="C1861" i="4" s="1"/>
  <c r="C1862" i="4" s="1"/>
  <c r="C1863" i="4" s="1"/>
  <c r="C1865" i="4" s="1"/>
  <c r="C1866" i="4" s="1"/>
  <c r="C1867" i="4" s="1"/>
  <c r="C1868" i="4" s="1"/>
  <c r="C1869" i="4" s="1"/>
  <c r="C1870" i="4" s="1"/>
  <c r="C1871" i="4" s="1"/>
  <c r="C1873" i="4" s="1"/>
  <c r="C1875" i="4" s="1"/>
  <c r="C1876" i="4" s="1"/>
  <c r="C1877" i="4" s="1"/>
  <c r="C1878" i="4" s="1"/>
  <c r="C1879" i="4" s="1"/>
  <c r="C1880" i="4" s="1"/>
  <c r="C1881" i="4" s="1"/>
  <c r="C1882" i="4" s="1"/>
  <c r="C1883" i="4" s="1"/>
  <c r="C1885" i="4" s="1"/>
  <c r="C1886" i="4" s="1"/>
  <c r="C1887" i="4" s="1"/>
  <c r="C1888" i="4" s="1"/>
  <c r="C1889" i="4" s="1"/>
  <c r="C1890" i="4" s="1"/>
  <c r="C1891" i="4" s="1"/>
  <c r="C1892" i="4" s="1"/>
  <c r="C1893" i="4" s="1"/>
  <c r="C1895" i="4" s="1"/>
  <c r="C1896" i="4" s="1"/>
  <c r="C1897" i="4" s="1"/>
  <c r="C1898" i="4" s="1"/>
  <c r="C1900" i="4" s="1"/>
  <c r="C1901" i="4" s="1"/>
  <c r="C1902" i="4" s="1"/>
  <c r="C1903" i="4" s="1"/>
  <c r="C1905" i="4" s="1"/>
  <c r="C1906" i="4" s="1"/>
  <c r="C1907" i="4" s="1"/>
  <c r="C1908" i="4" s="1"/>
  <c r="C1910" i="4" s="1"/>
  <c r="C1911" i="4" s="1"/>
  <c r="C1912" i="4" s="1"/>
  <c r="C1913" i="4" s="1"/>
  <c r="C1915" i="4" s="1"/>
  <c r="C1916" i="4" s="1"/>
  <c r="C1917" i="4" s="1"/>
  <c r="C1918" i="4" s="1"/>
  <c r="C1919" i="4" s="1"/>
  <c r="C1920" i="4" s="1"/>
  <c r="C1921" i="4" s="1"/>
  <c r="C1922" i="4" s="1"/>
  <c r="C1924" i="4" s="1"/>
  <c r="C1925" i="4" s="1"/>
  <c r="C1926" i="4" s="1"/>
  <c r="C1927" i="4" s="1"/>
  <c r="C1928" i="4" s="1"/>
  <c r="C1929" i="4" s="1"/>
  <c r="C1930" i="4" s="1"/>
  <c r="C1931" i="4" s="1"/>
  <c r="C1933" i="4" s="1"/>
  <c r="C1935" i="4" s="1"/>
  <c r="C1936" i="4" s="1"/>
  <c r="C1937" i="4" s="1"/>
  <c r="C1938" i="4" s="1"/>
  <c r="C1940" i="4" s="1"/>
  <c r="C1941" i="4" s="1"/>
  <c r="C1942" i="4" s="1"/>
  <c r="C1943" i="4" s="1"/>
  <c r="C1944" i="4" s="1"/>
  <c r="C1945" i="4" s="1"/>
  <c r="C1946" i="4" s="1"/>
  <c r="C1947" i="4" s="1"/>
  <c r="C1948" i="4" s="1"/>
  <c r="C1950" i="4" s="1"/>
  <c r="C1951" i="4" s="1"/>
  <c r="C1952" i="4" s="1"/>
  <c r="C1953" i="4" s="1"/>
  <c r="C1954" i="4" s="1"/>
  <c r="C1955" i="4" s="1"/>
  <c r="C1956" i="4" s="1"/>
  <c r="C1957" i="4" s="1"/>
  <c r="C1958" i="4" s="1"/>
  <c r="C1960" i="4" s="1"/>
  <c r="C1962" i="4" s="1"/>
  <c r="C1964" i="4" s="1"/>
  <c r="C1965" i="4" s="1"/>
  <c r="C1966" i="4" s="1"/>
  <c r="C1967" i="4" s="1"/>
  <c r="C1968" i="4" s="1"/>
  <c r="C1970" i="4" s="1"/>
  <c r="C1971" i="4" s="1"/>
  <c r="C1972" i="4" s="1"/>
  <c r="C1973" i="4" s="1"/>
  <c r="C1974" i="4" s="1"/>
  <c r="C1975" i="4" s="1"/>
  <c r="C1976" i="4" s="1"/>
  <c r="C1977" i="4" s="1"/>
  <c r="C1978" i="4" s="1"/>
  <c r="C1979" i="4" s="1"/>
  <c r="C1980" i="4" s="1"/>
  <c r="C1981" i="4" s="1"/>
  <c r="C1982" i="4" s="1"/>
  <c r="C1983" i="4" s="1"/>
  <c r="C1984" i="4" s="1"/>
  <c r="C1985" i="4" s="1"/>
  <c r="C1986" i="4" s="1"/>
  <c r="C1987" i="4" s="1"/>
  <c r="C1988" i="4" s="1"/>
  <c r="C1989" i="4" s="1"/>
  <c r="C1990" i="4" s="1"/>
  <c r="C1991" i="4" s="1"/>
  <c r="C1992" i="4" s="1"/>
  <c r="C1993" i="4" s="1"/>
  <c r="C1994" i="4" s="1"/>
  <c r="C1995" i="4" s="1"/>
  <c r="C1996" i="4" s="1"/>
  <c r="C1997" i="4" s="1"/>
  <c r="C1998" i="4" s="1"/>
  <c r="C1999" i="4" s="1"/>
  <c r="C2001" i="4" s="1"/>
  <c r="C2002" i="4" s="1"/>
  <c r="C2003" i="4" s="1"/>
  <c r="C2005" i="4" s="1"/>
  <c r="C2006" i="4" s="1"/>
  <c r="C2007" i="4" s="1"/>
  <c r="C2008" i="4" s="1"/>
  <c r="C2010" i="4" s="1"/>
  <c r="C2011" i="4" s="1"/>
  <c r="C2012" i="4" s="1"/>
  <c r="C2014" i="4" s="1"/>
  <c r="C2015" i="4" s="1"/>
  <c r="C2016" i="4" s="1"/>
  <c r="C2017" i="4" s="1"/>
  <c r="C2018" i="4" s="1"/>
  <c r="C2019" i="4" s="1"/>
  <c r="C2020" i="4" s="1"/>
  <c r="C2021" i="4" s="1"/>
  <c r="C2022" i="4" s="1"/>
  <c r="C2023" i="4" s="1"/>
  <c r="C2024" i="4" s="1"/>
  <c r="C2025" i="4" s="1"/>
  <c r="C2027" i="4" s="1"/>
  <c r="C2028" i="4" s="1"/>
  <c r="C2029" i="4" s="1"/>
  <c r="C2030" i="4" s="1"/>
  <c r="C2031" i="4" s="1"/>
  <c r="C2032" i="4" s="1"/>
  <c r="C2033" i="4" s="1"/>
  <c r="C2034" i="4" s="1"/>
  <c r="C2037" i="4" s="1"/>
  <c r="C2038" i="4" s="1"/>
  <c r="C2039" i="4" s="1"/>
  <c r="C2040" i="4" s="1"/>
  <c r="C2041" i="4" s="1"/>
  <c r="C2042" i="4" s="1"/>
  <c r="C2043" i="4" s="1"/>
  <c r="C2044" i="4" s="1"/>
  <c r="C2045" i="4" s="1"/>
  <c r="C2046" i="4" s="1"/>
  <c r="C2047" i="4" s="1"/>
  <c r="C2048" i="4" s="1"/>
  <c r="C2050" i="4" s="1"/>
  <c r="C2051" i="4" s="1"/>
  <c r="C2052" i="4" s="1"/>
  <c r="C2053" i="4" s="1"/>
  <c r="C2054" i="4" s="1"/>
  <c r="C2055" i="4" s="1"/>
  <c r="C2056" i="4" s="1"/>
  <c r="C2057" i="4" s="1"/>
  <c r="C2058" i="4" s="1"/>
  <c r="C2060" i="4" s="1"/>
  <c r="C2061" i="4" s="1"/>
  <c r="C2062" i="4" s="1"/>
  <c r="C2063" i="4" s="1"/>
  <c r="C2064" i="4" s="1"/>
  <c r="C2065" i="4" s="1"/>
  <c r="C2066" i="4" s="1"/>
  <c r="C2067" i="4" s="1"/>
  <c r="C2068" i="4" s="1"/>
  <c r="C2069" i="4" s="1"/>
  <c r="C2071" i="4" s="1"/>
  <c r="C2072" i="4" s="1"/>
  <c r="C2073" i="4" s="1"/>
  <c r="C2075" i="4" s="1"/>
  <c r="C2076" i="4" s="1"/>
  <c r="C2077" i="4" s="1"/>
  <c r="C2078" i="4" s="1"/>
  <c r="C2079" i="4" s="1"/>
  <c r="C2080" i="4" s="1"/>
  <c r="C2081" i="4" s="1"/>
  <c r="C2082" i="4" s="1"/>
  <c r="C2083" i="4" s="1"/>
  <c r="C2085" i="4" s="1"/>
  <c r="C2086" i="4" s="1"/>
  <c r="C2087" i="4" s="1"/>
  <c r="C2088" i="4" s="1"/>
  <c r="C2091" i="4" s="1"/>
  <c r="C2092" i="4" s="1"/>
  <c r="C2093" i="4" s="1"/>
  <c r="C2095" i="4" s="1"/>
  <c r="C2096" i="4" s="1"/>
  <c r="C2097" i="4" s="1"/>
  <c r="C2098" i="4" s="1"/>
  <c r="C2099" i="4" s="1"/>
  <c r="C2100" i="4" s="1"/>
  <c r="C2101" i="4" s="1"/>
  <c r="C2102" i="4" s="1"/>
  <c r="C2103" i="4" s="1"/>
  <c r="C2105" i="4" s="1"/>
  <c r="C2106" i="4" s="1"/>
  <c r="C2107" i="4" s="1"/>
  <c r="C2108" i="4" s="1"/>
  <c r="C2109" i="4" s="1"/>
  <c r="C2110" i="4" s="1"/>
  <c r="C2111" i="4" s="1"/>
  <c r="C2112" i="4" s="1"/>
  <c r="C2113" i="4" s="1"/>
  <c r="C2114" i="4" s="1"/>
  <c r="C2115" i="4" s="1"/>
  <c r="C2116" i="4" s="1"/>
  <c r="C2117" i="4" s="1"/>
  <c r="C2118" i="4" s="1"/>
  <c r="C2119" i="4" s="1"/>
  <c r="C2120" i="4" s="1"/>
  <c r="C2121" i="4" s="1"/>
  <c r="C2122" i="4" s="1"/>
  <c r="C2123" i="4" s="1"/>
  <c r="C2124" i="4" s="1"/>
  <c r="C2125" i="4" s="1"/>
  <c r="C2126" i="4" s="1"/>
  <c r="C2127" i="4" s="1"/>
  <c r="C2128" i="4" s="1"/>
  <c r="C2129" i="4" s="1"/>
  <c r="C2130" i="4" s="1"/>
  <c r="C2131" i="4" s="1"/>
  <c r="C2132" i="4" s="1"/>
  <c r="C2133" i="4" s="1"/>
  <c r="C2135" i="4" s="1"/>
  <c r="C2136" i="4" s="1"/>
  <c r="C2137" i="4" s="1"/>
  <c r="C2138" i="4" s="1"/>
  <c r="C2139" i="4" s="1"/>
  <c r="C2140" i="4" s="1"/>
  <c r="C2141" i="4" s="1"/>
  <c r="C2142" i="4" s="1"/>
  <c r="C2143" i="4" s="1"/>
  <c r="C2145" i="4" s="1"/>
  <c r="C2146" i="4" s="1"/>
  <c r="C2147" i="4" s="1"/>
  <c r="C2148" i="4" s="1"/>
  <c r="C2149" i="4" s="1"/>
  <c r="C2150" i="4" s="1"/>
  <c r="C2151" i="4" s="1"/>
  <c r="C2152" i="4" s="1"/>
  <c r="C2153" i="4" s="1"/>
  <c r="C2154" i="4" s="1"/>
  <c r="C2155" i="4" s="1"/>
  <c r="C2156" i="4" s="1"/>
  <c r="C2157" i="4" s="1"/>
  <c r="C2158" i="4" s="1"/>
  <c r="C2160" i="4" s="1"/>
  <c r="C2161" i="4" s="1"/>
  <c r="C2162" i="4" s="1"/>
  <c r="C2163" i="4" s="1"/>
  <c r="C2164" i="4" s="1"/>
  <c r="C2165" i="4" s="1"/>
  <c r="C2166" i="4" s="1"/>
  <c r="C2167" i="4" s="1"/>
  <c r="C2168" i="4" s="1"/>
  <c r="C2169" i="4" s="1"/>
  <c r="C2170" i="4" s="1"/>
  <c r="C2171" i="4" s="1"/>
  <c r="C2172" i="4" s="1"/>
  <c r="C2173" i="4" s="1"/>
  <c r="C2174" i="4" s="1"/>
  <c r="C2175" i="4" s="1"/>
  <c r="C2176" i="4" s="1"/>
  <c r="C2177" i="4" s="1"/>
  <c r="C2178" i="4" s="1"/>
  <c r="C2179" i="4" s="1"/>
  <c r="C2180" i="4" s="1"/>
  <c r="C2181" i="4" s="1"/>
  <c r="C2182" i="4" s="1"/>
  <c r="C2183" i="4" s="1"/>
  <c r="C2184" i="4" s="1"/>
  <c r="C2185" i="4" s="1"/>
  <c r="C2186" i="4" s="1"/>
  <c r="C2187" i="4" s="1"/>
  <c r="C2188" i="4" s="1"/>
  <c r="C2190" i="4" s="1"/>
  <c r="C2191" i="4" s="1"/>
  <c r="C2192" i="4" s="1"/>
  <c r="C2193" i="4" s="1"/>
  <c r="C2194" i="4" s="1"/>
  <c r="C2195" i="4" s="1"/>
  <c r="C2196" i="4" s="1"/>
  <c r="C2197" i="4" s="1"/>
  <c r="C2198" i="4" s="1"/>
  <c r="C2199" i="4" s="1"/>
  <c r="C2200" i="4" s="1"/>
  <c r="C2201" i="4" s="1"/>
  <c r="C2202" i="4" s="1"/>
  <c r="C2203" i="4" s="1"/>
  <c r="C2204" i="4" s="1"/>
  <c r="C2205" i="4" s="1"/>
  <c r="C2206" i="4" s="1"/>
  <c r="C2207" i="4" s="1"/>
  <c r="C2208" i="4" s="1"/>
  <c r="C2209" i="4" s="1"/>
  <c r="C2210" i="4" s="1"/>
  <c r="C2212" i="4" s="1"/>
  <c r="C2213" i="4" s="1"/>
  <c r="C2214" i="4" s="1"/>
  <c r="C2215" i="4" s="1"/>
  <c r="C2216" i="4" s="1"/>
  <c r="C2217" i="4" s="1"/>
  <c r="C2218" i="4" s="1"/>
  <c r="C2219" i="4" s="1"/>
  <c r="C2220" i="4" s="1"/>
  <c r="C2221" i="4" s="1"/>
  <c r="C2222" i="4" s="1"/>
  <c r="C2223" i="4" s="1"/>
  <c r="C2224" i="4" s="1"/>
  <c r="C2225" i="4" s="1"/>
  <c r="C2226" i="4" s="1"/>
  <c r="C2227" i="4" s="1"/>
  <c r="C2228" i="4" s="1"/>
  <c r="C2229" i="4" s="1"/>
  <c r="C2230" i="4" s="1"/>
  <c r="C2231" i="4" s="1"/>
  <c r="C2232" i="4" s="1"/>
  <c r="C2233" i="4" s="1"/>
  <c r="C2234" i="4" s="1"/>
  <c r="C2235" i="4" s="1"/>
  <c r="C2236" i="4" s="1"/>
  <c r="C2237" i="4" s="1"/>
  <c r="C2238" i="4" s="1"/>
  <c r="C2239" i="4" s="1"/>
  <c r="C2240" i="4" s="1"/>
  <c r="C2241" i="4" s="1"/>
  <c r="C2242" i="4" s="1"/>
  <c r="C2243" i="4" s="1"/>
  <c r="C2244" i="4" s="1"/>
  <c r="C2245" i="4" s="1"/>
  <c r="C2246" i="4" s="1"/>
  <c r="C2247" i="4" s="1"/>
  <c r="C2248" i="4" s="1"/>
  <c r="C2249" i="4" s="1"/>
  <c r="C2250" i="4" s="1"/>
  <c r="C2251" i="4" s="1"/>
  <c r="C2252" i="4" s="1"/>
  <c r="C2253" i="4" s="1"/>
  <c r="C2254" i="4" s="1"/>
  <c r="C2255" i="4" s="1"/>
  <c r="C2256" i="4" s="1"/>
  <c r="C2257" i="4" s="1"/>
  <c r="C2258" i="4" s="1"/>
  <c r="C2259" i="4" s="1"/>
  <c r="C2260" i="4" s="1"/>
  <c r="C2261" i="4" s="1"/>
  <c r="C2262" i="4" s="1"/>
  <c r="C2263" i="4" s="1"/>
  <c r="C2264" i="4" s="1"/>
  <c r="C2265" i="4" s="1"/>
  <c r="C2266" i="4" s="1"/>
  <c r="C2267" i="4" s="1"/>
  <c r="C2268" i="4" s="1"/>
  <c r="C2269" i="4" s="1"/>
  <c r="C2270" i="4" s="1"/>
  <c r="C2271" i="4" s="1"/>
  <c r="C2272" i="4" s="1"/>
  <c r="C2273" i="4" s="1"/>
  <c r="C2274" i="4" s="1"/>
  <c r="C2275" i="4" s="1"/>
  <c r="C2276" i="4" s="1"/>
  <c r="C2277" i="4" s="1"/>
  <c r="C2278" i="4" s="1"/>
  <c r="C2279" i="4" s="1"/>
  <c r="C2280" i="4" s="1"/>
  <c r="C2281" i="4" s="1"/>
  <c r="C2282" i="4" s="1"/>
  <c r="C2283" i="4" s="1"/>
  <c r="C2284" i="4" s="1"/>
  <c r="C2285" i="4" s="1"/>
  <c r="C2286" i="4" s="1"/>
  <c r="C2287" i="4" s="1"/>
  <c r="C2288" i="4" s="1"/>
  <c r="C2289" i="4" s="1"/>
  <c r="C2290" i="4" s="1"/>
  <c r="C2291" i="4" s="1"/>
  <c r="C2292" i="4" s="1"/>
  <c r="C2293" i="4" s="1"/>
  <c r="C2294" i="4" s="1"/>
  <c r="C2295" i="4" s="1"/>
  <c r="C2296" i="4" s="1"/>
  <c r="C2297" i="4" s="1"/>
  <c r="C2298" i="4" s="1"/>
  <c r="C2299" i="4" s="1"/>
  <c r="C2300" i="4" s="1"/>
  <c r="C2301" i="4" s="1"/>
  <c r="C2302" i="4" s="1"/>
  <c r="C2303" i="4" s="1"/>
  <c r="C2304" i="4" s="1"/>
  <c r="C2305" i="4" s="1"/>
  <c r="C2306" i="4" s="1"/>
  <c r="C2307" i="4" s="1"/>
  <c r="C2308" i="4" s="1"/>
  <c r="C2309" i="4" s="1"/>
  <c r="C2310" i="4" s="1"/>
  <c r="C2311" i="4" s="1"/>
  <c r="C2312" i="4" s="1"/>
  <c r="C2313" i="4" s="1"/>
  <c r="C2314" i="4" s="1"/>
  <c r="C2315" i="4" s="1"/>
  <c r="C2316" i="4" s="1"/>
  <c r="C2317" i="4" s="1"/>
  <c r="C2318" i="4" s="1"/>
  <c r="C2319" i="4" s="1"/>
  <c r="C2320" i="4" s="1"/>
  <c r="C2321" i="4" s="1"/>
  <c r="C2322" i="4" s="1"/>
  <c r="C2323" i="4" s="1"/>
  <c r="C2324" i="4" s="1"/>
  <c r="C2325" i="4" s="1"/>
  <c r="C2326" i="4" s="1"/>
  <c r="C2327" i="4" s="1"/>
  <c r="C2328" i="4" s="1"/>
  <c r="C2329" i="4" s="1"/>
  <c r="C2330" i="4" s="1"/>
  <c r="C2331" i="4" s="1"/>
  <c r="C2332" i="4" s="1"/>
  <c r="C2333" i="4" s="1"/>
  <c r="C2334" i="4" s="1"/>
  <c r="C2335" i="4" s="1"/>
  <c r="C2336" i="4" s="1"/>
  <c r="C2337" i="4" s="1"/>
  <c r="C2338" i="4" s="1"/>
  <c r="C2339" i="4" s="1"/>
  <c r="C2340" i="4" s="1"/>
  <c r="C2341" i="4" s="1"/>
  <c r="C2342" i="4" s="1"/>
  <c r="C2343" i="4" s="1"/>
  <c r="C2344" i="4" s="1"/>
  <c r="C2345" i="4" s="1"/>
  <c r="C2346" i="4" s="1"/>
  <c r="C2347" i="4" s="1"/>
  <c r="C2348" i="4" s="1"/>
  <c r="C2349" i="4" s="1"/>
  <c r="C2350" i="4" s="1"/>
  <c r="C2351" i="4" s="1"/>
  <c r="C2352" i="4" s="1"/>
  <c r="C2353" i="4" s="1"/>
  <c r="C2354" i="4" s="1"/>
  <c r="C2355" i="4" s="1"/>
  <c r="C2356" i="4" s="1"/>
  <c r="C2357" i="4" s="1"/>
  <c r="C2358" i="4" s="1"/>
  <c r="C2359" i="4" s="1"/>
  <c r="C2360" i="4" s="1"/>
  <c r="C2361" i="4" s="1"/>
  <c r="C2362" i="4" s="1"/>
  <c r="C2363" i="4" s="1"/>
  <c r="C2364" i="4" s="1"/>
  <c r="C2365" i="4" s="1"/>
  <c r="C2366" i="4" s="1"/>
  <c r="C2367" i="4" s="1"/>
  <c r="C2368" i="4" s="1"/>
  <c r="C2369" i="4" s="1"/>
  <c r="C2370" i="4" s="1"/>
  <c r="C2371" i="4" s="1"/>
  <c r="C2372" i="4" s="1"/>
  <c r="C2373" i="4" s="1"/>
  <c r="C2374" i="4" s="1"/>
  <c r="C2375" i="4" s="1"/>
  <c r="C2376" i="4" s="1"/>
  <c r="C2377" i="4" s="1"/>
  <c r="C2378" i="4" s="1"/>
  <c r="C2379" i="4" s="1"/>
  <c r="C2380" i="4" s="1"/>
  <c r="C2381" i="4" s="1"/>
  <c r="C2382" i="4" s="1"/>
  <c r="C2383" i="4" s="1"/>
  <c r="C2384" i="4" s="1"/>
  <c r="C2385" i="4" s="1"/>
  <c r="C2386" i="4" s="1"/>
  <c r="C2387" i="4" s="1"/>
  <c r="C2388" i="4" s="1"/>
  <c r="C2389" i="4" s="1"/>
  <c r="C2390" i="4" s="1"/>
  <c r="C2391" i="4" s="1"/>
  <c r="C2392" i="4" s="1"/>
  <c r="C2393" i="4" s="1"/>
  <c r="C2394" i="4" s="1"/>
  <c r="C2395" i="4" s="1"/>
  <c r="C2396" i="4" s="1"/>
  <c r="C2397" i="4" s="1"/>
  <c r="C2398" i="4" s="1"/>
  <c r="C2399" i="4" s="1"/>
  <c r="C2400" i="4" s="1"/>
  <c r="C2401" i="4" s="1"/>
  <c r="C2402" i="4" s="1"/>
  <c r="C2403" i="4" s="1"/>
  <c r="C2404" i="4" s="1"/>
  <c r="C2405" i="4" s="1"/>
  <c r="C2406" i="4" s="1"/>
  <c r="C2407" i="4" s="1"/>
  <c r="C2408" i="4" s="1"/>
  <c r="C2409" i="4" s="1"/>
  <c r="C2410" i="4" s="1"/>
  <c r="C2411" i="4" s="1"/>
  <c r="C2412" i="4" s="1"/>
  <c r="C2413" i="4" s="1"/>
  <c r="C2414" i="4" s="1"/>
  <c r="C2415" i="4" s="1"/>
  <c r="C2416" i="4" s="1"/>
  <c r="C2417" i="4" s="1"/>
  <c r="C2418" i="4" s="1"/>
  <c r="C2419" i="4" s="1"/>
  <c r="C2420" i="4" s="1"/>
  <c r="C2421" i="4" s="1"/>
  <c r="C2422" i="4" s="1"/>
  <c r="C2423" i="4" s="1"/>
  <c r="C2424" i="4" s="1"/>
  <c r="C2425" i="4" s="1"/>
  <c r="C2426" i="4" s="1"/>
  <c r="C2427" i="4" s="1"/>
  <c r="C2428" i="4" s="1"/>
  <c r="C2429" i="4" s="1"/>
  <c r="C2430" i="4" s="1"/>
  <c r="C2431" i="4" s="1"/>
  <c r="C2432" i="4" s="1"/>
  <c r="C2433" i="4" s="1"/>
  <c r="C2434" i="4" s="1"/>
  <c r="C2435" i="4" s="1"/>
  <c r="C2436" i="4" s="1"/>
  <c r="C2437" i="4" s="1"/>
  <c r="C2438" i="4" s="1"/>
  <c r="C2439" i="4" s="1"/>
  <c r="C2440" i="4" s="1"/>
  <c r="C2441" i="4" s="1"/>
  <c r="C2442" i="4" s="1"/>
  <c r="C2443" i="4" s="1"/>
  <c r="C2444" i="4" s="1"/>
  <c r="C2445" i="4" s="1"/>
  <c r="C2446" i="4" s="1"/>
  <c r="C2447" i="4" s="1"/>
  <c r="C2448" i="4" s="1"/>
  <c r="C2449" i="4" s="1"/>
  <c r="C2450" i="4" s="1"/>
  <c r="C2451" i="4" s="1"/>
  <c r="C2452" i="4" s="1"/>
  <c r="C2453" i="4" s="1"/>
  <c r="C2454" i="4" s="1"/>
  <c r="C2455" i="4" s="1"/>
  <c r="C2456" i="4" s="1"/>
  <c r="C1552" i="4"/>
  <c r="B1484" i="4"/>
  <c r="B1485" i="4" s="1"/>
  <c r="B1486" i="4" s="1"/>
  <c r="B1487" i="4" s="1"/>
  <c r="B1488" i="4" s="1"/>
  <c r="B1489" i="4" s="1"/>
  <c r="B1490" i="4" s="1"/>
  <c r="B1491" i="4" s="1"/>
  <c r="B1492" i="4" s="1"/>
  <c r="H1217" i="3" a="1"/>
  <c r="H1217" i="3" s="1"/>
  <c r="H2340" i="3"/>
  <c r="J222" i="3"/>
  <c r="K234" i="3"/>
  <c r="K230" i="3"/>
  <c r="K231" i="3"/>
  <c r="K232" i="3"/>
  <c r="K233" i="3"/>
  <c r="K229" i="3"/>
  <c r="H228" i="3"/>
  <c r="L228" i="3"/>
  <c r="K1284" i="3"/>
  <c r="K1285" i="3"/>
  <c r="K1286" i="3"/>
  <c r="K1283" i="3"/>
  <c r="H1282" i="3"/>
  <c r="L1282" i="3"/>
  <c r="M1282" i="3" s="1"/>
  <c r="O1173" i="3" s="1"/>
  <c r="J2257" i="3"/>
  <c r="K2265" i="3"/>
  <c r="K2266" i="3"/>
  <c r="K2267" i="3"/>
  <c r="K2268" i="3"/>
  <c r="K2269" i="3"/>
  <c r="K2270" i="3"/>
  <c r="K2271" i="3"/>
  <c r="K2264" i="3"/>
  <c r="H2263" i="3"/>
  <c r="L2263" i="3"/>
  <c r="M2263" i="3" s="1"/>
  <c r="O2113" i="3" s="1"/>
  <c r="O1377" i="3"/>
  <c r="J1489" i="3"/>
  <c r="K1501" i="3"/>
  <c r="K1503" i="3"/>
  <c r="K1497" i="3"/>
  <c r="K1498" i="3"/>
  <c r="K1499" i="3"/>
  <c r="K1500" i="3"/>
  <c r="K1502" i="3"/>
  <c r="K1496" i="3"/>
  <c r="H1495" i="3"/>
  <c r="L1495" i="3"/>
  <c r="M1495" i="3" s="1"/>
  <c r="O1383" i="3" s="1"/>
  <c r="O568" i="3"/>
  <c r="J658" i="3"/>
  <c r="B1278" i="4"/>
  <c r="K670" i="3"/>
  <c r="K666" i="3"/>
  <c r="K667" i="3"/>
  <c r="K668" i="3"/>
  <c r="K669" i="3"/>
  <c r="K665" i="3"/>
  <c r="H664" i="3"/>
  <c r="L664" i="3"/>
  <c r="B1493" i="4" l="1"/>
  <c r="B1494" i="4" s="1"/>
  <c r="B1495" i="4" s="1"/>
  <c r="B1496" i="4" s="1"/>
  <c r="B1498" i="4" s="1"/>
  <c r="B1499" i="4" s="1"/>
  <c r="B1500" i="4" s="1"/>
  <c r="B1501" i="4" s="1"/>
  <c r="B1503" i="4" s="1"/>
  <c r="B1504" i="4" s="1"/>
  <c r="B1505" i="4" s="1"/>
  <c r="B1506" i="4" s="1"/>
  <c r="H2341" i="3"/>
  <c r="L229" i="3"/>
  <c r="M228" i="3"/>
  <c r="O190" i="3" s="1"/>
  <c r="J1283" i="3"/>
  <c r="M1283" i="3" s="1"/>
  <c r="O1174" i="3" s="1"/>
  <c r="L1283" i="3"/>
  <c r="L2264" i="3"/>
  <c r="L1496" i="3"/>
  <c r="L665" i="3"/>
  <c r="L666" i="3" s="1"/>
  <c r="L667" i="3" s="1"/>
  <c r="L668" i="3" s="1"/>
  <c r="L669" i="3" s="1"/>
  <c r="L670" i="3" s="1"/>
  <c r="M664" i="3"/>
  <c r="O575" i="3" s="1"/>
  <c r="B1508" i="4" l="1"/>
  <c r="B1509" i="4" s="1"/>
  <c r="B1510" i="4" s="1"/>
  <c r="B1511" i="4" s="1"/>
  <c r="H2342" i="3"/>
  <c r="L230" i="3"/>
  <c r="L1284" i="3"/>
  <c r="L1285" i="3" s="1"/>
  <c r="J1284" i="3"/>
  <c r="M1284" i="3" s="1"/>
  <c r="O1175" i="3" s="1"/>
  <c r="L2265" i="3"/>
  <c r="L1497" i="3"/>
  <c r="B1513" i="4" l="1"/>
  <c r="B1514" i="4" s="1"/>
  <c r="H2343" i="3"/>
  <c r="L231" i="3"/>
  <c r="J1285" i="3"/>
  <c r="M1285" i="3" s="1"/>
  <c r="O1176" i="3" s="1"/>
  <c r="L1286" i="3"/>
  <c r="J1286" i="3"/>
  <c r="M1286" i="3" s="1"/>
  <c r="L2266" i="3"/>
  <c r="L1498" i="3"/>
  <c r="B1515" i="4" l="1"/>
  <c r="B1516" i="4" s="1"/>
  <c r="B1518" i="4" s="1"/>
  <c r="B1519" i="4" s="1"/>
  <c r="B1520" i="4" s="1"/>
  <c r="B1521" i="4" s="1"/>
  <c r="B1522" i="4" s="1"/>
  <c r="B1523" i="4" s="1"/>
  <c r="B1524" i="4" s="1"/>
  <c r="B1526" i="4" s="1"/>
  <c r="B1527" i="4" s="1"/>
  <c r="B1528" i="4" s="1"/>
  <c r="B1529" i="4" s="1"/>
  <c r="B1530" i="4" s="1"/>
  <c r="B1531" i="4" s="1"/>
  <c r="B1533" i="4" s="1"/>
  <c r="B1534" i="4" s="1"/>
  <c r="L232" i="3"/>
  <c r="O1177" i="3"/>
  <c r="L2267" i="3"/>
  <c r="L1499" i="3"/>
  <c r="B1535" i="4" l="1"/>
  <c r="B1536" i="4" s="1"/>
  <c r="B1538" i="4" s="1"/>
  <c r="B1539" i="4" s="1"/>
  <c r="B1540" i="4" s="1"/>
  <c r="B1541" i="4" s="1"/>
  <c r="B1543" i="4" s="1"/>
  <c r="B1544" i="4" s="1"/>
  <c r="B1545" i="4" s="1"/>
  <c r="L233" i="3"/>
  <c r="L2268" i="3"/>
  <c r="L1500" i="3"/>
  <c r="B1546" i="4" l="1"/>
  <c r="B1548" i="4" s="1"/>
  <c r="B1549" i="4" s="1"/>
  <c r="L234" i="3"/>
  <c r="L2269" i="3"/>
  <c r="L1501" i="3"/>
  <c r="B1550" i="4" l="1"/>
  <c r="B1551" i="4" s="1"/>
  <c r="B1553" i="4" s="1"/>
  <c r="B1554" i="4" s="1"/>
  <c r="B1555" i="4" s="1"/>
  <c r="B1556" i="4" s="1"/>
  <c r="B1558" i="4" s="1"/>
  <c r="B1559" i="4" s="1"/>
  <c r="B1560" i="4" s="1"/>
  <c r="B1561" i="4" s="1"/>
  <c r="B1563" i="4" s="1"/>
  <c r="B1564" i="4" s="1"/>
  <c r="B1565" i="4" s="1"/>
  <c r="B1566" i="4" s="1"/>
  <c r="B1568" i="4" s="1"/>
  <c r="B1569" i="4" s="1"/>
  <c r="B1570" i="4" s="1"/>
  <c r="B1571" i="4" s="1"/>
  <c r="L2270" i="3"/>
  <c r="L1502" i="3"/>
  <c r="B1573" i="4" l="1"/>
  <c r="B1574" i="4" s="1"/>
  <c r="B1575" i="4" s="1"/>
  <c r="B1576" i="4" s="1"/>
  <c r="B1577" i="4" s="1"/>
  <c r="B1579" i="4" s="1"/>
  <c r="B1580" i="4" s="1"/>
  <c r="B1581" i="4" s="1"/>
  <c r="B1583" i="4" s="1"/>
  <c r="B1584" i="4" s="1"/>
  <c r="B1585" i="4" s="1"/>
  <c r="B1586" i="4" s="1"/>
  <c r="B1588" i="4" s="1"/>
  <c r="B1589" i="4" s="1"/>
  <c r="B1590" i="4" s="1"/>
  <c r="B1591" i="4" s="1"/>
  <c r="B1593" i="4" s="1"/>
  <c r="B1594" i="4" s="1"/>
  <c r="B1595" i="4" s="1"/>
  <c r="B1596" i="4" s="1"/>
  <c r="B1598" i="4" s="1"/>
  <c r="B1599" i="4" s="1"/>
  <c r="B1600" i="4" s="1"/>
  <c r="B1601" i="4" s="1"/>
  <c r="B1603" i="4" s="1"/>
  <c r="B1604" i="4" s="1"/>
  <c r="B1605" i="4" s="1"/>
  <c r="B1606" i="4" s="1"/>
  <c r="B1607" i="4" s="1"/>
  <c r="B1609" i="4" s="1"/>
  <c r="L2271" i="3"/>
  <c r="L1503" i="3"/>
  <c r="B1611" i="4" l="1"/>
  <c r="B1612" i="4" s="1"/>
  <c r="B1613" i="4" s="1"/>
  <c r="B1614" i="4" l="1"/>
  <c r="B1615" i="4" s="1"/>
  <c r="B1616" i="4" s="1"/>
  <c r="B1617" i="4" s="1"/>
  <c r="B1619" i="4" s="1"/>
  <c r="B1620" i="4" s="1"/>
  <c r="B1621" i="4" s="1"/>
  <c r="B1623" i="4" l="1"/>
  <c r="B1624" i="4" s="1"/>
  <c r="B1625" i="4" s="1"/>
  <c r="B1626" i="4" s="1"/>
  <c r="B1628" i="4" s="1"/>
  <c r="B1629" i="4" s="1"/>
  <c r="B1630" i="4" s="1"/>
  <c r="B1631" i="4" s="1"/>
  <c r="B1632" i="4" s="1"/>
  <c r="B1633" i="4" s="1"/>
  <c r="B1635" i="4" s="1"/>
  <c r="J959" i="44"/>
  <c r="O45" i="3"/>
  <c r="B1636" i="4" l="1"/>
  <c r="B1637" i="4" s="1"/>
  <c r="B1638" i="4" s="1"/>
  <c r="B1640" i="4" s="1"/>
  <c r="B1641" i="4" s="1"/>
  <c r="K979" i="44"/>
  <c r="K980" i="44"/>
  <c r="K981" i="44"/>
  <c r="K982" i="44"/>
  <c r="K983" i="44"/>
  <c r="K984" i="44"/>
  <c r="K985" i="44"/>
  <c r="K986" i="44"/>
  <c r="K987" i="44"/>
  <c r="K988" i="44"/>
  <c r="K989" i="44"/>
  <c r="K978" i="44"/>
  <c r="K972" i="44"/>
  <c r="L972" i="44" s="1"/>
  <c r="K973" i="44"/>
  <c r="K974" i="44"/>
  <c r="K975" i="44"/>
  <c r="K976" i="44"/>
  <c r="K977" i="44"/>
  <c r="J972" i="44"/>
  <c r="K860" i="3"/>
  <c r="J115" i="3"/>
  <c r="B1643" i="4" l="1"/>
  <c r="B1644" i="4" s="1"/>
  <c r="L973" i="44"/>
  <c r="J973" i="44"/>
  <c r="H121" i="3"/>
  <c r="K123" i="3"/>
  <c r="K124" i="3"/>
  <c r="K125" i="3"/>
  <c r="K122" i="3"/>
  <c r="L121" i="3"/>
  <c r="M121" i="3" s="1"/>
  <c r="P121" i="3" s="1"/>
  <c r="O114" i="3"/>
  <c r="B1646" i="4" l="1"/>
  <c r="B1647" i="4" s="1"/>
  <c r="B1648" i="4" s="1"/>
  <c r="B1649" i="4" s="1"/>
  <c r="B1650" i="4" s="1"/>
  <c r="B1651" i="4" s="1"/>
  <c r="B1652" i="4" s="1"/>
  <c r="B1654" i="4" s="1"/>
  <c r="B1655" i="4" s="1"/>
  <c r="B1656" i="4" s="1"/>
  <c r="B1658" i="4" s="1"/>
  <c r="B1659" i="4" s="1"/>
  <c r="B1660" i="4" s="1"/>
  <c r="B1661" i="4" s="1"/>
  <c r="B1663" i="4" s="1"/>
  <c r="B1664" i="4" s="1"/>
  <c r="L974" i="44"/>
  <c r="J974" i="44"/>
  <c r="L122" i="3"/>
  <c r="O121" i="3"/>
  <c r="B1665" i="4" l="1"/>
  <c r="B1666" i="4" s="1"/>
  <c r="B1667" i="4" s="1"/>
  <c r="B1668" i="4" s="1"/>
  <c r="B1670" i="4" s="1"/>
  <c r="B1671" i="4" s="1"/>
  <c r="B1673" i="4" s="1"/>
  <c r="B1674" i="4" s="1"/>
  <c r="L975" i="44"/>
  <c r="J975" i="44"/>
  <c r="L123" i="3"/>
  <c r="B1158" i="4"/>
  <c r="B1184" i="4" s="1"/>
  <c r="B1223" i="4" s="1"/>
  <c r="B1224" i="4" s="1"/>
  <c r="B1254" i="4" s="1"/>
  <c r="B1266" i="4" s="1"/>
  <c r="B1283" i="4" s="1"/>
  <c r="B1324" i="4" s="1"/>
  <c r="B1325" i="4" s="1"/>
  <c r="B1675" i="4" l="1"/>
  <c r="B1676" i="4" s="1"/>
  <c r="B1678" i="4" s="1"/>
  <c r="B1342" i="4"/>
  <c r="L976" i="44"/>
  <c r="J976" i="44"/>
  <c r="L124" i="3"/>
  <c r="J1384" i="3"/>
  <c r="H1390" i="3"/>
  <c r="L1390" i="3"/>
  <c r="B1679" i="4" l="1"/>
  <c r="B1680" i="4" s="1"/>
  <c r="B1681" i="4" s="1"/>
  <c r="B1683" i="4" s="1"/>
  <c r="B1684" i="4" s="1"/>
  <c r="B1685" i="4" s="1"/>
  <c r="B1686" i="4" s="1"/>
  <c r="B1688" i="4" s="1"/>
  <c r="B1689" i="4" s="1"/>
  <c r="B1690" i="4" s="1"/>
  <c r="B1691" i="4" s="1"/>
  <c r="B1692" i="4" s="1"/>
  <c r="B1693" i="4" s="1"/>
  <c r="B1694" i="4" s="1"/>
  <c r="B1695" i="4" s="1"/>
  <c r="B1696" i="4" s="1"/>
  <c r="B1698" i="4" s="1"/>
  <c r="B1699" i="4" s="1"/>
  <c r="B1700" i="4" s="1"/>
  <c r="B1701" i="4" s="1"/>
  <c r="L977" i="44"/>
  <c r="J977" i="44"/>
  <c r="L125" i="3"/>
  <c r="M1390" i="3"/>
  <c r="K1391" i="3"/>
  <c r="L1391" i="3" s="1"/>
  <c r="K1396" i="3"/>
  <c r="J1391" i="3"/>
  <c r="K1397" i="3"/>
  <c r="K1393" i="3"/>
  <c r="K1392" i="3"/>
  <c r="K1395" i="3"/>
  <c r="K1394" i="3"/>
  <c r="B1702" i="4" l="1"/>
  <c r="B1703" i="4" s="1"/>
  <c r="B1704" i="4" s="1"/>
  <c r="B1705" i="4" s="1"/>
  <c r="B1706" i="4" s="1"/>
  <c r="B1708" i="4" s="1"/>
  <c r="B1709" i="4" s="1"/>
  <c r="B1710" i="4" s="1"/>
  <c r="B1711" i="4" s="1"/>
  <c r="B1712" i="4" s="1"/>
  <c r="B1714" i="4" s="1"/>
  <c r="B1715" i="4" s="1"/>
  <c r="B1716" i="4" s="1"/>
  <c r="B1717" i="4" s="1"/>
  <c r="B1719" i="4" s="1"/>
  <c r="B1720" i="4" s="1"/>
  <c r="B1721" i="4" s="1"/>
  <c r="B1723" i="4" s="1"/>
  <c r="B1724" i="4" s="1"/>
  <c r="B1725" i="4" s="1"/>
  <c r="B1726" i="4" s="1"/>
  <c r="B1727" i="4" s="1"/>
  <c r="B1728" i="4" s="1"/>
  <c r="B1730" i="4" s="1"/>
  <c r="B1731" i="4" s="1"/>
  <c r="B1732" i="4" s="1"/>
  <c r="B1733" i="4" s="1"/>
  <c r="B1734" i="4" s="1"/>
  <c r="B1735" i="4" s="1"/>
  <c r="B1736" i="4" s="1"/>
  <c r="B1737" i="4" s="1"/>
  <c r="B1738" i="4" s="1"/>
  <c r="B1740" i="4" s="1"/>
  <c r="M1391" i="3"/>
  <c r="J978" i="44"/>
  <c r="L978" i="44"/>
  <c r="L1392" i="3"/>
  <c r="J1392" i="3"/>
  <c r="M1392" i="3" s="1"/>
  <c r="P1279" i="3"/>
  <c r="O1279" i="3"/>
  <c r="L965" i="44"/>
  <c r="M965" i="44" s="1"/>
  <c r="O844" i="44"/>
  <c r="B1741" i="4" l="1"/>
  <c r="B1742" i="4" s="1"/>
  <c r="B1743" i="4" s="1"/>
  <c r="O1280" i="3"/>
  <c r="O1281" i="3" s="1"/>
  <c r="P1280" i="3"/>
  <c r="L979" i="44"/>
  <c r="J979" i="44"/>
  <c r="L1393" i="3"/>
  <c r="J1393" i="3"/>
  <c r="M1393" i="3" s="1"/>
  <c r="J966" i="44"/>
  <c r="O1746" i="3"/>
  <c r="J1892" i="3"/>
  <c r="H1898" i="3"/>
  <c r="H1899" i="3" s="1"/>
  <c r="L1898" i="3"/>
  <c r="M1898" i="3" s="1"/>
  <c r="K1899" i="3"/>
  <c r="K1900" i="3"/>
  <c r="K1901" i="3"/>
  <c r="K1902" i="3"/>
  <c r="K1903" i="3"/>
  <c r="K1904" i="3"/>
  <c r="C848" i="4"/>
  <c r="B1745" i="4" l="1"/>
  <c r="B1747" i="4" s="1"/>
  <c r="B1748" i="4" s="1"/>
  <c r="B1749" i="4" s="1"/>
  <c r="B1750" i="4" s="1"/>
  <c r="B1751" i="4" s="1"/>
  <c r="B1752" i="4" s="1"/>
  <c r="J980" i="44"/>
  <c r="L980" i="44"/>
  <c r="L1394" i="3"/>
  <c r="J1394" i="3"/>
  <c r="M1394" i="3" s="1"/>
  <c r="O1282" i="3"/>
  <c r="O851" i="44"/>
  <c r="H1900" i="3"/>
  <c r="H1901" i="3" s="1"/>
  <c r="H1902" i="3" s="1"/>
  <c r="O1753" i="3"/>
  <c r="P1753" i="3"/>
  <c r="L1899" i="3"/>
  <c r="L1900" i="3" s="1"/>
  <c r="L1901" i="3" s="1"/>
  <c r="L1902" i="3" s="1"/>
  <c r="L1903" i="3" s="1"/>
  <c r="L1904" i="3" s="1"/>
  <c r="H1013" i="44"/>
  <c r="B1754" i="4" l="1"/>
  <c r="B1755" i="4" s="1"/>
  <c r="B1756" i="4" s="1"/>
  <c r="B1758" i="4" s="1"/>
  <c r="B1759" i="4" s="1"/>
  <c r="B1760" i="4" s="1"/>
  <c r="B1761" i="4" s="1"/>
  <c r="B1762" i="4" s="1"/>
  <c r="B1763" i="4" s="1"/>
  <c r="B1764" i="4" s="1"/>
  <c r="B1765" i="4" s="1"/>
  <c r="B1766" i="4" s="1"/>
  <c r="J981" i="44"/>
  <c r="L981" i="44"/>
  <c r="O1283" i="3"/>
  <c r="L1395" i="3"/>
  <c r="J1395" i="3"/>
  <c r="M1395" i="3" s="1"/>
  <c r="H1903" i="3"/>
  <c r="H1904" i="3" s="1"/>
  <c r="O386" i="44"/>
  <c r="B1768" i="4" l="1"/>
  <c r="B1769" i="4" s="1"/>
  <c r="B1770" i="4" s="1"/>
  <c r="B1771" i="4" s="1"/>
  <c r="L982" i="44"/>
  <c r="J982" i="44"/>
  <c r="L1396" i="3"/>
  <c r="J1396" i="3"/>
  <c r="M1396" i="3" s="1"/>
  <c r="O1284" i="3"/>
  <c r="O1748" i="3"/>
  <c r="B1773" i="4" l="1"/>
  <c r="B1774" i="4" s="1"/>
  <c r="B1775" i="4" s="1"/>
  <c r="J983" i="44"/>
  <c r="L983" i="44"/>
  <c r="O1285" i="3"/>
  <c r="L1397" i="3"/>
  <c r="J1397" i="3"/>
  <c r="M1397" i="3" s="1"/>
  <c r="B1776" i="4" l="1"/>
  <c r="B1777" i="4" s="1"/>
  <c r="B1778" i="4" s="1"/>
  <c r="B1779" i="4" s="1"/>
  <c r="B1780" i="4" s="1"/>
  <c r="B1781" i="4" s="1"/>
  <c r="B1783" i="4" s="1"/>
  <c r="B1784" i="4" s="1"/>
  <c r="B1785" i="4" s="1"/>
  <c r="B1787" i="4" s="1"/>
  <c r="B1788" i="4" s="1"/>
  <c r="B1789" i="4" s="1"/>
  <c r="B1790" i="4" s="1"/>
  <c r="B1791" i="4" s="1"/>
  <c r="B1793" i="4" s="1"/>
  <c r="B1794" i="4" s="1"/>
  <c r="B1795" i="4" s="1"/>
  <c r="L984" i="44"/>
  <c r="J984" i="44"/>
  <c r="Q1280" i="3"/>
  <c r="P1282" i="3"/>
  <c r="Q1282" i="3" s="1"/>
  <c r="P1281" i="3"/>
  <c r="Q1281" i="3" s="1"/>
  <c r="P1283" i="3"/>
  <c r="Q1283" i="3" s="1"/>
  <c r="P1284" i="3"/>
  <c r="Q1284" i="3" s="1"/>
  <c r="P1285" i="3"/>
  <c r="Q1285" i="3" s="1"/>
  <c r="O1286" i="3"/>
  <c r="O8" i="45"/>
  <c r="O8" i="10"/>
  <c r="O2338" i="3"/>
  <c r="O2300" i="3"/>
  <c r="O2264" i="3"/>
  <c r="O2215" i="3"/>
  <c r="O2145" i="3"/>
  <c r="O2072" i="3"/>
  <c r="O2041" i="3"/>
  <c r="O2007" i="3"/>
  <c r="O1968" i="3"/>
  <c r="O1933" i="3"/>
  <c r="O1896" i="3"/>
  <c r="O1858" i="3"/>
  <c r="O1815" i="3"/>
  <c r="O1778" i="3"/>
  <c r="O1706" i="3"/>
  <c r="O1669" i="3"/>
  <c r="O1634" i="3"/>
  <c r="O1556" i="3"/>
  <c r="O1493" i="3"/>
  <c r="O1458" i="3"/>
  <c r="O1340" i="3"/>
  <c r="O1306" i="3"/>
  <c r="O1239" i="3"/>
  <c r="O1198" i="3"/>
  <c r="O1130" i="3"/>
  <c r="O1014" i="3"/>
  <c r="O968" i="3"/>
  <c r="O893" i="3"/>
  <c r="O849" i="3"/>
  <c r="O808" i="3"/>
  <c r="O727" i="3"/>
  <c r="O690" i="3"/>
  <c r="O525" i="3"/>
  <c r="O487" i="3"/>
  <c r="O452" i="3"/>
  <c r="O417" i="3"/>
  <c r="O380" i="3"/>
  <c r="O345" i="3"/>
  <c r="O302" i="3"/>
  <c r="O261" i="3"/>
  <c r="O217" i="3"/>
  <c r="O148" i="3"/>
  <c r="O81" i="3"/>
  <c r="O1535" i="44"/>
  <c r="O1503" i="44"/>
  <c r="O798" i="44"/>
  <c r="O423" i="44"/>
  <c r="O350" i="44"/>
  <c r="O306" i="44"/>
  <c r="O264" i="44"/>
  <c r="O247" i="44"/>
  <c r="O187" i="44"/>
  <c r="O153" i="44"/>
  <c r="O119" i="44"/>
  <c r="O80" i="44"/>
  <c r="O45" i="44"/>
  <c r="O1647" i="44"/>
  <c r="O1609" i="44"/>
  <c r="O1572" i="44"/>
  <c r="O1456" i="44"/>
  <c r="O1423" i="44"/>
  <c r="O1379" i="44"/>
  <c r="O1297" i="44"/>
  <c r="O1255" i="44"/>
  <c r="O463" i="44"/>
  <c r="O499" i="44"/>
  <c r="O537" i="44"/>
  <c r="O573" i="44"/>
  <c r="O607" i="44"/>
  <c r="O643" i="44"/>
  <c r="O716" i="44"/>
  <c r="O755" i="44"/>
  <c r="O936" i="44"/>
  <c r="O975" i="44"/>
  <c r="O1022" i="44"/>
  <c r="O1061" i="44"/>
  <c r="O1101" i="44"/>
  <c r="O1132" i="44"/>
  <c r="O1171" i="44"/>
  <c r="O1213" i="44"/>
  <c r="O1343" i="44"/>
  <c r="B1796" i="4" l="1"/>
  <c r="B1797" i="4" s="1"/>
  <c r="B1798" i="4" s="1"/>
  <c r="B1799" i="4" s="1"/>
  <c r="B1800" i="4" s="1"/>
  <c r="B1802" i="4" s="1"/>
  <c r="B1803" i="4" s="1"/>
  <c r="B1804" i="4" s="1"/>
  <c r="B1805" i="4" s="1"/>
  <c r="B1806" i="4" s="1"/>
  <c r="J985" i="44"/>
  <c r="L985" i="44"/>
  <c r="C1158" i="4"/>
  <c r="C1184" i="4" s="1"/>
  <c r="L986" i="44" l="1"/>
  <c r="J986" i="44"/>
  <c r="J1527" i="44"/>
  <c r="H1533" i="44"/>
  <c r="H1534" i="44" s="1"/>
  <c r="H1535" i="44" s="1"/>
  <c r="L1533" i="44"/>
  <c r="M1533" i="44" s="1"/>
  <c r="J1491" i="44"/>
  <c r="H1497" i="44"/>
  <c r="H1498" i="44" s="1"/>
  <c r="L1497" i="44"/>
  <c r="M1497" i="44" s="1"/>
  <c r="K1502" i="44"/>
  <c r="K1503" i="44"/>
  <c r="J1445" i="44"/>
  <c r="H1451" i="44"/>
  <c r="H1452" i="44" s="1"/>
  <c r="L1451" i="44"/>
  <c r="M1451" i="44" s="1"/>
  <c r="O1304" i="44" s="1"/>
  <c r="K1452" i="44"/>
  <c r="K1453" i="44"/>
  <c r="K1454" i="44"/>
  <c r="K1455" i="44"/>
  <c r="K1456" i="44"/>
  <c r="K1457" i="44"/>
  <c r="K1458" i="44"/>
  <c r="K1459" i="44"/>
  <c r="K1460" i="44"/>
  <c r="K1461" i="44"/>
  <c r="K1462" i="44"/>
  <c r="K1463" i="44"/>
  <c r="K1464" i="44"/>
  <c r="K1465" i="44"/>
  <c r="K1466" i="44"/>
  <c r="K1467" i="44"/>
  <c r="J1403" i="44"/>
  <c r="H1409" i="44"/>
  <c r="H1410" i="44" s="1"/>
  <c r="H1411" i="44" s="1"/>
  <c r="L1409" i="44"/>
  <c r="M1409" i="44" s="1"/>
  <c r="K1411" i="44"/>
  <c r="K1412" i="44"/>
  <c r="K1413" i="44"/>
  <c r="K1414" i="44"/>
  <c r="K1415" i="44"/>
  <c r="K1416" i="44"/>
  <c r="K1417" i="44"/>
  <c r="K1418" i="44"/>
  <c r="K1419" i="44"/>
  <c r="K1420" i="44"/>
  <c r="K1421" i="44"/>
  <c r="J1361" i="44"/>
  <c r="H1367" i="44"/>
  <c r="H1368" i="44" s="1"/>
  <c r="L1367" i="44"/>
  <c r="M1367" i="44" s="1"/>
  <c r="O1220" i="44" s="1"/>
  <c r="K1368" i="44"/>
  <c r="K1369" i="44"/>
  <c r="K1370" i="44"/>
  <c r="K1371" i="44"/>
  <c r="K1372" i="44"/>
  <c r="K1373" i="44"/>
  <c r="K1374" i="44"/>
  <c r="K1375" i="44"/>
  <c r="K1376" i="44"/>
  <c r="K1377" i="44"/>
  <c r="K1378" i="44"/>
  <c r="K1379" i="44"/>
  <c r="J1319" i="44"/>
  <c r="H1325" i="44"/>
  <c r="H1326" i="44" s="1"/>
  <c r="H1327" i="44" s="1"/>
  <c r="L1325" i="44"/>
  <c r="M1325" i="44" s="1"/>
  <c r="K1326" i="44"/>
  <c r="K1327" i="44"/>
  <c r="K1328" i="44"/>
  <c r="K1329" i="44"/>
  <c r="K1330" i="44"/>
  <c r="K1331" i="44"/>
  <c r="K1332" i="44"/>
  <c r="K1333" i="44"/>
  <c r="K1334" i="44"/>
  <c r="K1335" i="44"/>
  <c r="K1336" i="44"/>
  <c r="K1337" i="44"/>
  <c r="J1277" i="44"/>
  <c r="H1283" i="44"/>
  <c r="H1284" i="44" s="1"/>
  <c r="L1283" i="44"/>
  <c r="M1283" i="44" s="1"/>
  <c r="K1285" i="44"/>
  <c r="K1286" i="44"/>
  <c r="K1287" i="44"/>
  <c r="K1288" i="44"/>
  <c r="K1289" i="44"/>
  <c r="K1290" i="44"/>
  <c r="K1291" i="44"/>
  <c r="K1292" i="44"/>
  <c r="K1293" i="44"/>
  <c r="K1294" i="44"/>
  <c r="K1295" i="44"/>
  <c r="B1814" i="4" l="1"/>
  <c r="B1815" i="4" s="1"/>
  <c r="B1816" i="4" s="1"/>
  <c r="B1817" i="4" s="1"/>
  <c r="B1819" i="4" s="1"/>
  <c r="B1820" i="4" s="1"/>
  <c r="B1821" i="4" s="1"/>
  <c r="B1822" i="4" s="1"/>
  <c r="B1824" i="4" s="1"/>
  <c r="B1825" i="4" s="1"/>
  <c r="B1826" i="4" s="1"/>
  <c r="B1827" i="4" s="1"/>
  <c r="B1829" i="4" s="1"/>
  <c r="B1830" i="4" s="1"/>
  <c r="B1831" i="4" s="1"/>
  <c r="J987" i="44"/>
  <c r="L987" i="44"/>
  <c r="K1535" i="44"/>
  <c r="K1540" i="44"/>
  <c r="K1539" i="44"/>
  <c r="K1538" i="44"/>
  <c r="K1541" i="44"/>
  <c r="K1537" i="44"/>
  <c r="J1498" i="44"/>
  <c r="J1368" i="44"/>
  <c r="M1368" i="44" s="1"/>
  <c r="O1221" i="44" s="1"/>
  <c r="K1500" i="44"/>
  <c r="K1499" i="44"/>
  <c r="K1498" i="44"/>
  <c r="L1498" i="44" s="1"/>
  <c r="J1534" i="44"/>
  <c r="H1536" i="44"/>
  <c r="O1386" i="44"/>
  <c r="J1452" i="44"/>
  <c r="M1452" i="44" s="1"/>
  <c r="O1305" i="44" s="1"/>
  <c r="K1501" i="44"/>
  <c r="K1536" i="44"/>
  <c r="K1534" i="44"/>
  <c r="L1534" i="44" s="1"/>
  <c r="L1452" i="44"/>
  <c r="L1453" i="44" s="1"/>
  <c r="L1454" i="44" s="1"/>
  <c r="L1455" i="44" s="1"/>
  <c r="L1456" i="44" s="1"/>
  <c r="L1457" i="44" s="1"/>
  <c r="L1458" i="44" s="1"/>
  <c r="L1459" i="44" s="1"/>
  <c r="L1460" i="44" s="1"/>
  <c r="L1461" i="44" s="1"/>
  <c r="L1462" i="44" s="1"/>
  <c r="L1463" i="44" s="1"/>
  <c r="L1464" i="44" s="1"/>
  <c r="L1465" i="44" s="1"/>
  <c r="L1466" i="44" s="1"/>
  <c r="L1467" i="44" s="1"/>
  <c r="H1499" i="44"/>
  <c r="H1500" i="44" s="1"/>
  <c r="O1350" i="44"/>
  <c r="H1453" i="44"/>
  <c r="L1368" i="44"/>
  <c r="L1369" i="44" s="1"/>
  <c r="L1370" i="44" s="1"/>
  <c r="L1371" i="44" s="1"/>
  <c r="L1372" i="44" s="1"/>
  <c r="L1373" i="44" s="1"/>
  <c r="L1374" i="44" s="1"/>
  <c r="L1375" i="44" s="1"/>
  <c r="L1376" i="44" s="1"/>
  <c r="L1377" i="44" s="1"/>
  <c r="L1378" i="44" s="1"/>
  <c r="L1379" i="44" s="1"/>
  <c r="J1410" i="44"/>
  <c r="H1412" i="44"/>
  <c r="O1262" i="44"/>
  <c r="K1410" i="44"/>
  <c r="L1410" i="44" s="1"/>
  <c r="L1411" i="44" s="1"/>
  <c r="L1412" i="44" s="1"/>
  <c r="L1413" i="44" s="1"/>
  <c r="L1414" i="44" s="1"/>
  <c r="L1415" i="44" s="1"/>
  <c r="L1416" i="44" s="1"/>
  <c r="L1417" i="44" s="1"/>
  <c r="L1418" i="44" s="1"/>
  <c r="L1419" i="44" s="1"/>
  <c r="L1420" i="44" s="1"/>
  <c r="L1421" i="44" s="1"/>
  <c r="J1284" i="44"/>
  <c r="K1284" i="44"/>
  <c r="L1284" i="44" s="1"/>
  <c r="L1285" i="44" s="1"/>
  <c r="L1286" i="44" s="1"/>
  <c r="L1287" i="44" s="1"/>
  <c r="L1288" i="44" s="1"/>
  <c r="L1289" i="44" s="1"/>
  <c r="L1290" i="44" s="1"/>
  <c r="L1291" i="44" s="1"/>
  <c r="L1292" i="44" s="1"/>
  <c r="L1293" i="44" s="1"/>
  <c r="L1294" i="44" s="1"/>
  <c r="L1295" i="44" s="1"/>
  <c r="H1369" i="44"/>
  <c r="L1326" i="44"/>
  <c r="L1327" i="44" s="1"/>
  <c r="L1328" i="44" s="1"/>
  <c r="L1329" i="44" s="1"/>
  <c r="L1330" i="44" s="1"/>
  <c r="L1331" i="44" s="1"/>
  <c r="L1332" i="44" s="1"/>
  <c r="L1333" i="44" s="1"/>
  <c r="L1334" i="44" s="1"/>
  <c r="L1335" i="44" s="1"/>
  <c r="L1336" i="44" s="1"/>
  <c r="L1337" i="44" s="1"/>
  <c r="J1326" i="44"/>
  <c r="M1326" i="44" s="1"/>
  <c r="H1328" i="44"/>
  <c r="O1178" i="44"/>
  <c r="O1139" i="44"/>
  <c r="H1285" i="44"/>
  <c r="J1242" i="44"/>
  <c r="H1248" i="44"/>
  <c r="L1248" i="44"/>
  <c r="J1206" i="44"/>
  <c r="H1212" i="44"/>
  <c r="H1213" i="44" s="1"/>
  <c r="L1212" i="44"/>
  <c r="K1216" i="44" s="1"/>
  <c r="K1217" i="44"/>
  <c r="K1218" i="44"/>
  <c r="J1452" i="3"/>
  <c r="H1458" i="3"/>
  <c r="H1459" i="3" s="1"/>
  <c r="L1458" i="3"/>
  <c r="M1458" i="3" s="1"/>
  <c r="K1459" i="3"/>
  <c r="K1460" i="3"/>
  <c r="K1461" i="3"/>
  <c r="K1462" i="3"/>
  <c r="K1463" i="3"/>
  <c r="K1464" i="3"/>
  <c r="K1465" i="3"/>
  <c r="K1466" i="3"/>
  <c r="J1419" i="3"/>
  <c r="H1425" i="3"/>
  <c r="H1426" i="3" s="1"/>
  <c r="L1425" i="3"/>
  <c r="M1425" i="3" s="1"/>
  <c r="K1426" i="3"/>
  <c r="K1427" i="3"/>
  <c r="K1428" i="3"/>
  <c r="K1429" i="3"/>
  <c r="L1535" i="44" l="1"/>
  <c r="J1536" i="44" s="1"/>
  <c r="M1536" i="44" s="1"/>
  <c r="M1248" i="44"/>
  <c r="O1108" i="44" s="1"/>
  <c r="L1136" i="44"/>
  <c r="J1137" i="44" s="1"/>
  <c r="H1249" i="44"/>
  <c r="J1249" i="44" s="1"/>
  <c r="B1833" i="4"/>
  <c r="B1834" i="4" s="1"/>
  <c r="B1835" i="4" s="1"/>
  <c r="B1836" i="4" s="1"/>
  <c r="B1837" i="4" s="1"/>
  <c r="B1839" i="4" s="1"/>
  <c r="B1840" i="4" s="1"/>
  <c r="B1841" i="4" s="1"/>
  <c r="B1842" i="4" s="1"/>
  <c r="B1843" i="4" s="1"/>
  <c r="B1845" i="4" s="1"/>
  <c r="B1846" i="4" s="1"/>
  <c r="B1847" i="4" s="1"/>
  <c r="B1848" i="4" s="1"/>
  <c r="B1850" i="4" s="1"/>
  <c r="B1851" i="4" s="1"/>
  <c r="B1852" i="4" s="1"/>
  <c r="B1853" i="4" s="1"/>
  <c r="B1855" i="4" s="1"/>
  <c r="B1856" i="4" s="1"/>
  <c r="B1857" i="4" s="1"/>
  <c r="B1858" i="4" s="1"/>
  <c r="B1860" i="4" s="1"/>
  <c r="B1861" i="4" s="1"/>
  <c r="B1862" i="4" s="1"/>
  <c r="B1863" i="4" s="1"/>
  <c r="B1865" i="4" s="1"/>
  <c r="B1866" i="4" s="1"/>
  <c r="B1867" i="4" s="1"/>
  <c r="B1868" i="4" s="1"/>
  <c r="B1869" i="4" s="1"/>
  <c r="B1870" i="4" s="1"/>
  <c r="B1871" i="4" s="1"/>
  <c r="L988" i="44"/>
  <c r="J988" i="44"/>
  <c r="L1499" i="44"/>
  <c r="L1500" i="44" s="1"/>
  <c r="L1501" i="44" s="1"/>
  <c r="L1502" i="44" s="1"/>
  <c r="L1503" i="44" s="1"/>
  <c r="M1498" i="44"/>
  <c r="O1351" i="44" s="1"/>
  <c r="J1426" i="3"/>
  <c r="M1426" i="3" s="1"/>
  <c r="O1313" i="3"/>
  <c r="P1313" i="3"/>
  <c r="L1459" i="3"/>
  <c r="L1460" i="3" s="1"/>
  <c r="L1461" i="3" s="1"/>
  <c r="L1462" i="3" s="1"/>
  <c r="L1463" i="3" s="1"/>
  <c r="L1464" i="3" s="1"/>
  <c r="L1465" i="3" s="1"/>
  <c r="L1466" i="3" s="1"/>
  <c r="M1534" i="44"/>
  <c r="J1535" i="44"/>
  <c r="M1535" i="44" s="1"/>
  <c r="H1537" i="44"/>
  <c r="J1499" i="44"/>
  <c r="M1499" i="44" s="1"/>
  <c r="H1501" i="44"/>
  <c r="H1502" i="44" s="1"/>
  <c r="K1251" i="44"/>
  <c r="H1454" i="44"/>
  <c r="J1453" i="44"/>
  <c r="M1453" i="44" s="1"/>
  <c r="O1306" i="44" s="1"/>
  <c r="M1410" i="44"/>
  <c r="J1411" i="44"/>
  <c r="M1411" i="44" s="1"/>
  <c r="J1327" i="44"/>
  <c r="M1327" i="44" s="1"/>
  <c r="M1284" i="44"/>
  <c r="O1140" i="44" s="1"/>
  <c r="J1412" i="44"/>
  <c r="M1412" i="44" s="1"/>
  <c r="H1413" i="44"/>
  <c r="H1370" i="44"/>
  <c r="J1369" i="44"/>
  <c r="M1369" i="44" s="1"/>
  <c r="O1222" i="44" s="1"/>
  <c r="O1179" i="44"/>
  <c r="J1328" i="44"/>
  <c r="M1328" i="44" s="1"/>
  <c r="H1329" i="44"/>
  <c r="K1250" i="44"/>
  <c r="K1249" i="44"/>
  <c r="L1249" i="44" s="1"/>
  <c r="K1213" i="44"/>
  <c r="L1213" i="44" s="1"/>
  <c r="K1252" i="44"/>
  <c r="H1286" i="44"/>
  <c r="J1285" i="44"/>
  <c r="M1285" i="44" s="1"/>
  <c r="K1215" i="44"/>
  <c r="M1212" i="44"/>
  <c r="O1068" i="44" s="1"/>
  <c r="K1214" i="44"/>
  <c r="J1213" i="44"/>
  <c r="H1214" i="44"/>
  <c r="H1427" i="3"/>
  <c r="H1428" i="3" s="1"/>
  <c r="H1429" i="3" s="1"/>
  <c r="L1426" i="3"/>
  <c r="L1427" i="3" s="1"/>
  <c r="L1428" i="3" s="1"/>
  <c r="L1429" i="3" s="1"/>
  <c r="J1459" i="3"/>
  <c r="M1459" i="3" s="1"/>
  <c r="H1460" i="3"/>
  <c r="J1088" i="44"/>
  <c r="H1094" i="44"/>
  <c r="H1095" i="44" s="1"/>
  <c r="L1094" i="44"/>
  <c r="K1098" i="44" s="1"/>
  <c r="K1095" i="44"/>
  <c r="K1096" i="44"/>
  <c r="J1051" i="44"/>
  <c r="H1057" i="44"/>
  <c r="H1058" i="44" s="1"/>
  <c r="L1057" i="44"/>
  <c r="L1012" i="44"/>
  <c r="K1024" i="44"/>
  <c r="J913" i="44"/>
  <c r="H919" i="44"/>
  <c r="H920" i="44" s="1"/>
  <c r="L919" i="44"/>
  <c r="M919" i="44" s="1"/>
  <c r="O805" i="44" s="1"/>
  <c r="K920" i="44"/>
  <c r="K921" i="44"/>
  <c r="K922" i="44"/>
  <c r="K923" i="44"/>
  <c r="K924" i="44"/>
  <c r="K925" i="44"/>
  <c r="K926" i="44"/>
  <c r="K927" i="44"/>
  <c r="K928" i="44"/>
  <c r="K929" i="44"/>
  <c r="K930" i="44"/>
  <c r="K931" i="44"/>
  <c r="K932" i="44"/>
  <c r="K933" i="44"/>
  <c r="K934" i="44"/>
  <c r="K935" i="44"/>
  <c r="J870" i="44"/>
  <c r="H876" i="44"/>
  <c r="H877" i="44" s="1"/>
  <c r="L876" i="44"/>
  <c r="M876" i="44" s="1"/>
  <c r="O762" i="44" s="1"/>
  <c r="K877" i="44"/>
  <c r="K878" i="44"/>
  <c r="K879" i="44"/>
  <c r="K880" i="44"/>
  <c r="K881" i="44"/>
  <c r="K882" i="44"/>
  <c r="K883" i="44"/>
  <c r="K884" i="44"/>
  <c r="K885" i="44"/>
  <c r="K886" i="44"/>
  <c r="K887" i="44"/>
  <c r="K888" i="44"/>
  <c r="J832" i="44"/>
  <c r="H838" i="44"/>
  <c r="H839" i="44" s="1"/>
  <c r="L838" i="44"/>
  <c r="M838" i="44" s="1"/>
  <c r="O723" i="44" s="1"/>
  <c r="K840" i="44"/>
  <c r="K841" i="44"/>
  <c r="K842" i="44"/>
  <c r="K843" i="44"/>
  <c r="K844" i="44"/>
  <c r="J796" i="44"/>
  <c r="H802" i="44"/>
  <c r="H803" i="44" s="1"/>
  <c r="L802" i="44"/>
  <c r="M802" i="44" s="1"/>
  <c r="O687" i="44" s="1"/>
  <c r="K803" i="44"/>
  <c r="K804" i="44"/>
  <c r="K805" i="44"/>
  <c r="K806" i="44"/>
  <c r="K807" i="44"/>
  <c r="K808" i="44"/>
  <c r="J615" i="44"/>
  <c r="H621" i="44"/>
  <c r="H622" i="44" s="1"/>
  <c r="L621" i="44"/>
  <c r="M621" i="44" s="1"/>
  <c r="O544" i="44" s="1"/>
  <c r="K622" i="44"/>
  <c r="K623" i="44"/>
  <c r="K624" i="44"/>
  <c r="K625" i="44"/>
  <c r="K626" i="44"/>
  <c r="K627" i="44"/>
  <c r="K628" i="44"/>
  <c r="K629" i="44"/>
  <c r="H1250" i="44" l="1"/>
  <c r="J1250" i="44" s="1"/>
  <c r="M1250" i="44" s="1"/>
  <c r="L1536" i="44"/>
  <c r="L1537" i="44" s="1"/>
  <c r="L1538" i="44" s="1"/>
  <c r="L1539" i="44" s="1"/>
  <c r="L1540" i="44" s="1"/>
  <c r="L1541" i="44" s="1"/>
  <c r="M1136" i="44"/>
  <c r="L1137" i="44"/>
  <c r="B1873" i="4"/>
  <c r="B1875" i="4" s="1"/>
  <c r="K1059" i="44"/>
  <c r="K1063" i="44"/>
  <c r="J989" i="44"/>
  <c r="M989" i="44" s="1"/>
  <c r="L989" i="44"/>
  <c r="M1012" i="44"/>
  <c r="K971" i="44"/>
  <c r="K967" i="44"/>
  <c r="K969" i="44"/>
  <c r="K970" i="44"/>
  <c r="K966" i="44"/>
  <c r="K968" i="44"/>
  <c r="O1352" i="44"/>
  <c r="J1500" i="44"/>
  <c r="M1500" i="44" s="1"/>
  <c r="O1314" i="3"/>
  <c r="J1428" i="3"/>
  <c r="M1428" i="3" s="1"/>
  <c r="O1387" i="44"/>
  <c r="O1388" i="44" s="1"/>
  <c r="O1389" i="44" s="1"/>
  <c r="J1501" i="44"/>
  <c r="M1501" i="44" s="1"/>
  <c r="H1538" i="44"/>
  <c r="J1502" i="44"/>
  <c r="M1502" i="44" s="1"/>
  <c r="J1454" i="44"/>
  <c r="M1454" i="44" s="1"/>
  <c r="O1307" i="44" s="1"/>
  <c r="H1455" i="44"/>
  <c r="O1180" i="44"/>
  <c r="O1181" i="44" s="1"/>
  <c r="H1414" i="44"/>
  <c r="J1413" i="44"/>
  <c r="M1413" i="44" s="1"/>
  <c r="O1141" i="44"/>
  <c r="O1263" i="44"/>
  <c r="O1264" i="44" s="1"/>
  <c r="O1265" i="44" s="1"/>
  <c r="J1370" i="44"/>
  <c r="M1370" i="44" s="1"/>
  <c r="O1223" i="44" s="1"/>
  <c r="H1371" i="44"/>
  <c r="L1214" i="44"/>
  <c r="L1215" i="44" s="1"/>
  <c r="L1216" i="44" s="1"/>
  <c r="L1217" i="44" s="1"/>
  <c r="L1218" i="44" s="1"/>
  <c r="H1330" i="44"/>
  <c r="J1329" i="44"/>
  <c r="M1329" i="44" s="1"/>
  <c r="L1250" i="44"/>
  <c r="L1251" i="44" s="1"/>
  <c r="L1252" i="44" s="1"/>
  <c r="M1213" i="44"/>
  <c r="O1069" i="44" s="1"/>
  <c r="M1249" i="44"/>
  <c r="O1109" i="44" s="1"/>
  <c r="J1286" i="44"/>
  <c r="M1286" i="44" s="1"/>
  <c r="H1287" i="44"/>
  <c r="H1215" i="44"/>
  <c r="J1214" i="44"/>
  <c r="M1214" i="44" s="1"/>
  <c r="K1103" i="44"/>
  <c r="M1094" i="44"/>
  <c r="O982" i="44" s="1"/>
  <c r="O1029" i="44"/>
  <c r="J1427" i="3"/>
  <c r="M1427" i="3" s="1"/>
  <c r="H1461" i="3"/>
  <c r="J1460" i="3"/>
  <c r="M1460" i="3" s="1"/>
  <c r="K1017" i="44"/>
  <c r="K1062" i="44"/>
  <c r="J1095" i="44"/>
  <c r="M1095" i="44" s="1"/>
  <c r="H1096" i="44"/>
  <c r="H1097" i="44" s="1"/>
  <c r="H1098" i="44" s="1"/>
  <c r="K1101" i="44"/>
  <c r="J1058" i="44"/>
  <c r="K1060" i="44"/>
  <c r="K1099" i="44"/>
  <c r="M1057" i="44"/>
  <c r="O943" i="44" s="1"/>
  <c r="K1105" i="44"/>
  <c r="K1097" i="44"/>
  <c r="L1095" i="44"/>
  <c r="H1059" i="44"/>
  <c r="H1060" i="44" s="1"/>
  <c r="H1061" i="44" s="1"/>
  <c r="K1022" i="44"/>
  <c r="K1058" i="44"/>
  <c r="L1058" i="44" s="1"/>
  <c r="K1106" i="44"/>
  <c r="K1104" i="44"/>
  <c r="K1102" i="44"/>
  <c r="K1100" i="44"/>
  <c r="J920" i="44"/>
  <c r="M920" i="44" s="1"/>
  <c r="O806" i="44" s="1"/>
  <c r="K1021" i="44"/>
  <c r="K1016" i="44"/>
  <c r="K1020" i="44"/>
  <c r="K1014" i="44"/>
  <c r="K1018" i="44"/>
  <c r="K1013" i="44"/>
  <c r="L1013" i="44" s="1"/>
  <c r="K1023" i="44"/>
  <c r="K1019" i="44"/>
  <c r="K1015" i="44"/>
  <c r="K1061" i="44"/>
  <c r="L920" i="44"/>
  <c r="L921" i="44" s="1"/>
  <c r="L922" i="44" s="1"/>
  <c r="L923" i="44" s="1"/>
  <c r="L924" i="44" s="1"/>
  <c r="L925" i="44" s="1"/>
  <c r="L926" i="44" s="1"/>
  <c r="L927" i="44" s="1"/>
  <c r="L928" i="44" s="1"/>
  <c r="L929" i="44" s="1"/>
  <c r="L930" i="44" s="1"/>
  <c r="L931" i="44" s="1"/>
  <c r="L932" i="44" s="1"/>
  <c r="L933" i="44" s="1"/>
  <c r="L934" i="44" s="1"/>
  <c r="L935" i="44" s="1"/>
  <c r="J1013" i="44"/>
  <c r="H1014" i="44"/>
  <c r="H921" i="44"/>
  <c r="H922" i="44" s="1"/>
  <c r="H923" i="44" s="1"/>
  <c r="L877" i="44"/>
  <c r="L878" i="44" s="1"/>
  <c r="L879" i="44" s="1"/>
  <c r="L880" i="44" s="1"/>
  <c r="L881" i="44" s="1"/>
  <c r="L882" i="44" s="1"/>
  <c r="L883" i="44" s="1"/>
  <c r="L884" i="44" s="1"/>
  <c r="L885" i="44" s="1"/>
  <c r="L886" i="44" s="1"/>
  <c r="L887" i="44" s="1"/>
  <c r="L888" i="44" s="1"/>
  <c r="K839" i="44"/>
  <c r="L839" i="44" s="1"/>
  <c r="L840" i="44" s="1"/>
  <c r="L841" i="44" s="1"/>
  <c r="L842" i="44" s="1"/>
  <c r="L843" i="44" s="1"/>
  <c r="L844" i="44" s="1"/>
  <c r="J877" i="44"/>
  <c r="M877" i="44" s="1"/>
  <c r="O763" i="44" s="1"/>
  <c r="J803" i="44"/>
  <c r="M803" i="44" s="1"/>
  <c r="O688" i="44" s="1"/>
  <c r="L803" i="44"/>
  <c r="L804" i="44" s="1"/>
  <c r="L805" i="44" s="1"/>
  <c r="L806" i="44" s="1"/>
  <c r="L807" i="44" s="1"/>
  <c r="L808" i="44" s="1"/>
  <c r="H878" i="44"/>
  <c r="J839" i="44"/>
  <c r="H840" i="44"/>
  <c r="H841" i="44" s="1"/>
  <c r="H842" i="44" s="1"/>
  <c r="L622" i="44"/>
  <c r="L623" i="44" s="1"/>
  <c r="L624" i="44" s="1"/>
  <c r="L625" i="44" s="1"/>
  <c r="L626" i="44" s="1"/>
  <c r="L627" i="44" s="1"/>
  <c r="L628" i="44" s="1"/>
  <c r="L629" i="44" s="1"/>
  <c r="J622" i="44"/>
  <c r="M622" i="44" s="1"/>
  <c r="O545" i="44" s="1"/>
  <c r="H804" i="44"/>
  <c r="H623" i="44"/>
  <c r="J1601" i="44"/>
  <c r="H1607" i="44"/>
  <c r="H1608" i="44" s="1"/>
  <c r="L1607" i="44"/>
  <c r="M1607" i="44" s="1"/>
  <c r="O1463" i="44" s="1"/>
  <c r="K1609" i="44"/>
  <c r="K1610" i="44"/>
  <c r="K1611" i="44"/>
  <c r="K1612" i="44"/>
  <c r="K1613" i="44"/>
  <c r="K1614" i="44"/>
  <c r="K1615" i="44"/>
  <c r="K1616" i="44"/>
  <c r="K1617" i="44"/>
  <c r="K1618" i="44"/>
  <c r="K1619" i="44"/>
  <c r="J1565" i="44"/>
  <c r="H1571" i="44"/>
  <c r="H1572" i="44" s="1"/>
  <c r="H1573" i="44" s="1"/>
  <c r="H1574" i="44" s="1"/>
  <c r="L1571" i="44"/>
  <c r="M1571" i="44" s="1"/>
  <c r="O1430" i="44" s="1"/>
  <c r="K1573" i="44"/>
  <c r="K1574" i="44"/>
  <c r="K1575" i="44"/>
  <c r="K1576" i="44"/>
  <c r="K1577" i="44"/>
  <c r="J1683" i="44"/>
  <c r="H1689" i="44"/>
  <c r="H1690" i="44" s="1"/>
  <c r="L1689" i="44"/>
  <c r="M1689" i="44" s="1"/>
  <c r="O1542" i="44" s="1"/>
  <c r="K1690" i="44"/>
  <c r="K1691" i="44"/>
  <c r="K1692" i="44"/>
  <c r="K1693" i="44"/>
  <c r="J1646" i="44"/>
  <c r="H1652" i="44"/>
  <c r="H1653" i="44" s="1"/>
  <c r="L1652" i="44"/>
  <c r="M1652" i="44" s="1"/>
  <c r="O1510" i="44" s="1"/>
  <c r="K1653" i="44"/>
  <c r="K1654" i="44"/>
  <c r="K1655" i="44"/>
  <c r="K1656" i="44"/>
  <c r="K1657" i="44"/>
  <c r="K1658" i="44"/>
  <c r="J1717" i="44"/>
  <c r="H1723" i="44"/>
  <c r="H1724" i="44" s="1"/>
  <c r="L1723" i="44"/>
  <c r="M1723" i="44" s="1"/>
  <c r="O1579" i="44" s="1"/>
  <c r="K1724" i="44"/>
  <c r="D1742" i="44"/>
  <c r="J1757" i="44"/>
  <c r="H1763" i="44"/>
  <c r="H1764" i="44" s="1"/>
  <c r="L1763" i="44"/>
  <c r="K1764" i="44" s="1"/>
  <c r="L1764" i="44" s="1"/>
  <c r="K1765" i="44"/>
  <c r="K1766" i="44"/>
  <c r="K1767" i="44"/>
  <c r="K1768" i="44"/>
  <c r="K1769" i="44"/>
  <c r="K1770" i="44"/>
  <c r="K1771" i="44"/>
  <c r="J2086" i="3"/>
  <c r="H2092" i="3"/>
  <c r="H2093" i="3" s="1"/>
  <c r="L2092" i="3"/>
  <c r="M2092" i="3" s="1"/>
  <c r="K2093" i="3"/>
  <c r="K2094" i="3"/>
  <c r="K2095" i="3"/>
  <c r="K2096" i="3"/>
  <c r="K2097" i="3"/>
  <c r="K2098" i="3"/>
  <c r="J2445" i="3"/>
  <c r="H2451" i="3"/>
  <c r="H2452" i="3" s="1"/>
  <c r="L2451" i="3"/>
  <c r="M2451" i="3" s="1"/>
  <c r="K2452" i="3"/>
  <c r="K2453" i="3"/>
  <c r="K2454" i="3"/>
  <c r="K2455" i="3"/>
  <c r="K2456" i="3"/>
  <c r="K2457" i="3"/>
  <c r="K2458" i="3"/>
  <c r="K2459" i="3"/>
  <c r="J2409" i="3"/>
  <c r="H2415" i="3"/>
  <c r="H2416" i="3" s="1"/>
  <c r="H2417" i="3" s="1"/>
  <c r="H2418" i="3" s="1"/>
  <c r="L2415" i="3"/>
  <c r="M2415" i="3" s="1"/>
  <c r="K2416" i="3"/>
  <c r="K2417" i="3"/>
  <c r="K2418" i="3"/>
  <c r="K2419" i="3"/>
  <c r="K2420" i="3"/>
  <c r="K2421" i="3"/>
  <c r="J2452" i="3" l="1"/>
  <c r="M2452" i="3" s="1"/>
  <c r="H1251" i="44"/>
  <c r="J1537" i="44"/>
  <c r="M1537" i="44" s="1"/>
  <c r="E40" i="55"/>
  <c r="F40" i="55" s="1"/>
  <c r="H40" i="55"/>
  <c r="E18" i="55"/>
  <c r="H26" i="55"/>
  <c r="H48" i="55"/>
  <c r="H46" i="55"/>
  <c r="H55" i="55"/>
  <c r="O898" i="44"/>
  <c r="L1138" i="44"/>
  <c r="J1138" i="44"/>
  <c r="M65" i="18"/>
  <c r="L40" i="57"/>
  <c r="N40" i="57" s="1"/>
  <c r="L58" i="57"/>
  <c r="N58" i="57" s="1"/>
  <c r="L149" i="57"/>
  <c r="N149" i="57" s="1"/>
  <c r="L112" i="57"/>
  <c r="N112" i="57" s="1"/>
  <c r="L103" i="57"/>
  <c r="N103" i="57" s="1"/>
  <c r="L11" i="57"/>
  <c r="N11" i="57" s="1"/>
  <c r="L95" i="57"/>
  <c r="N95" i="57" s="1"/>
  <c r="L50" i="57"/>
  <c r="N50" i="57" s="1"/>
  <c r="L27" i="57"/>
  <c r="N27" i="57" s="1"/>
  <c r="L114" i="57"/>
  <c r="N114" i="57" s="1"/>
  <c r="L151" i="57"/>
  <c r="N151" i="57" s="1"/>
  <c r="L154" i="57"/>
  <c r="N154" i="57" s="1"/>
  <c r="L33" i="57"/>
  <c r="N33" i="57" s="1"/>
  <c r="L145" i="57"/>
  <c r="N145" i="57" s="1"/>
  <c r="L100" i="57"/>
  <c r="N100" i="57" s="1"/>
  <c r="L115" i="57"/>
  <c r="N115" i="57" s="1"/>
  <c r="L104" i="57"/>
  <c r="N104" i="57" s="1"/>
  <c r="L120" i="57"/>
  <c r="N120" i="57" s="1"/>
  <c r="L31" i="57"/>
  <c r="N31" i="57" s="1"/>
  <c r="L125" i="57"/>
  <c r="N125" i="57" s="1"/>
  <c r="L35" i="57"/>
  <c r="N35" i="57" s="1"/>
  <c r="L34" i="57"/>
  <c r="N34" i="57" s="1"/>
  <c r="L20" i="57"/>
  <c r="N20" i="57" s="1"/>
  <c r="L32" i="57"/>
  <c r="N32" i="57" s="1"/>
  <c r="L101" i="57"/>
  <c r="N101" i="57" s="1"/>
  <c r="L10" i="57"/>
  <c r="N10" i="57" s="1"/>
  <c r="L161" i="57"/>
  <c r="N161" i="57" s="1"/>
  <c r="L153" i="57"/>
  <c r="N153" i="57" s="1"/>
  <c r="L147" i="57"/>
  <c r="N147" i="57" s="1"/>
  <c r="L24" i="57"/>
  <c r="N24" i="57" s="1"/>
  <c r="L88" i="57"/>
  <c r="N88" i="57" s="1"/>
  <c r="L113" i="57"/>
  <c r="N113" i="57" s="1"/>
  <c r="L25" i="57"/>
  <c r="N25" i="57" s="1"/>
  <c r="L1059" i="44"/>
  <c r="L1060" i="44" s="1"/>
  <c r="L1061" i="44" s="1"/>
  <c r="L1062" i="44" s="1"/>
  <c r="L1063" i="44" s="1"/>
  <c r="L162" i="57"/>
  <c r="N162" i="57" s="1"/>
  <c r="L38" i="57"/>
  <c r="N38" i="57" s="1"/>
  <c r="L160" i="57"/>
  <c r="N160" i="57" s="1"/>
  <c r="L9" i="57"/>
  <c r="N9" i="57" s="1"/>
  <c r="L116" i="57"/>
  <c r="N116" i="57" s="1"/>
  <c r="L91" i="57"/>
  <c r="N91" i="57" s="1"/>
  <c r="L134" i="57"/>
  <c r="N134" i="57" s="1"/>
  <c r="L127" i="57"/>
  <c r="N127" i="57" s="1"/>
  <c r="L49" i="57"/>
  <c r="N49" i="57" s="1"/>
  <c r="L86" i="57"/>
  <c r="N86" i="57" s="1"/>
  <c r="L133" i="57"/>
  <c r="N133" i="57" s="1"/>
  <c r="L80" i="57"/>
  <c r="N80" i="57" s="1"/>
  <c r="L51" i="57"/>
  <c r="N51" i="57" s="1"/>
  <c r="L152" i="57"/>
  <c r="N152" i="57" s="1"/>
  <c r="L37" i="57"/>
  <c r="N37" i="57" s="1"/>
  <c r="L26" i="57"/>
  <c r="N26" i="57" s="1"/>
  <c r="L96" i="57"/>
  <c r="N96" i="57" s="1"/>
  <c r="L4" i="57"/>
  <c r="N4" i="57" s="1"/>
  <c r="L23" i="57"/>
  <c r="N23" i="57" s="1"/>
  <c r="L6" i="57"/>
  <c r="N6" i="57" s="1"/>
  <c r="L89" i="57"/>
  <c r="N89" i="57" s="1"/>
  <c r="L52" i="57"/>
  <c r="N52" i="57" s="1"/>
  <c r="L19" i="57"/>
  <c r="N19" i="57" s="1"/>
  <c r="L53" i="57"/>
  <c r="N53" i="57" s="1"/>
  <c r="L82" i="57"/>
  <c r="N82" i="57" s="1"/>
  <c r="L139" i="57"/>
  <c r="N139" i="57" s="1"/>
  <c r="L30" i="57"/>
  <c r="N30" i="57" s="1"/>
  <c r="L124" i="57"/>
  <c r="N124" i="57" s="1"/>
  <c r="L29" i="57"/>
  <c r="N29" i="57" s="1"/>
  <c r="L97" i="57"/>
  <c r="N97" i="57" s="1"/>
  <c r="L157" i="57"/>
  <c r="N157" i="57" s="1"/>
  <c r="L105" i="57"/>
  <c r="N105" i="57" s="1"/>
  <c r="L156" i="57"/>
  <c r="N156" i="57" s="1"/>
  <c r="L155" i="57"/>
  <c r="N155" i="57" s="1"/>
  <c r="L22" i="57"/>
  <c r="N22" i="57" s="1"/>
  <c r="L150" i="57"/>
  <c r="N150" i="57" s="1"/>
  <c r="L102" i="57"/>
  <c r="N102" i="57" s="1"/>
  <c r="L146" i="57"/>
  <c r="N146" i="57" s="1"/>
  <c r="L5" i="57"/>
  <c r="N5" i="57" s="1"/>
  <c r="L21" i="57"/>
  <c r="N21" i="57" s="1"/>
  <c r="L136" i="57"/>
  <c r="N136" i="57" s="1"/>
  <c r="L138" i="57"/>
  <c r="N138" i="57" s="1"/>
  <c r="L28" i="57"/>
  <c r="N28" i="57" s="1"/>
  <c r="L74" i="57"/>
  <c r="N74" i="57" s="1"/>
  <c r="L98" i="57"/>
  <c r="N98" i="57" s="1"/>
  <c r="L3" i="57"/>
  <c r="N3" i="57" s="1"/>
  <c r="L48" i="57"/>
  <c r="N48" i="57" s="1"/>
  <c r="L81" i="57"/>
  <c r="N81" i="57" s="1"/>
  <c r="L92" i="57"/>
  <c r="N92" i="57" s="1"/>
  <c r="L39" i="57"/>
  <c r="N39" i="57" s="1"/>
  <c r="L93" i="57"/>
  <c r="N93" i="57" s="1"/>
  <c r="L59" i="57"/>
  <c r="N59" i="57" s="1"/>
  <c r="L36" i="57"/>
  <c r="N36" i="57" s="1"/>
  <c r="L12" i="57"/>
  <c r="N12" i="57" s="1"/>
  <c r="L137" i="57"/>
  <c r="N137" i="57" s="1"/>
  <c r="L129" i="57"/>
  <c r="N129" i="57" s="1"/>
  <c r="L121" i="57"/>
  <c r="N121" i="57" s="1"/>
  <c r="L126" i="57"/>
  <c r="N126" i="57" s="1"/>
  <c r="L41" i="57"/>
  <c r="N41" i="57" s="1"/>
  <c r="L135" i="57"/>
  <c r="N135" i="57" s="1"/>
  <c r="L158" i="57"/>
  <c r="N158" i="57" s="1"/>
  <c r="L18" i="57"/>
  <c r="N18" i="57" s="1"/>
  <c r="L159" i="57"/>
  <c r="N159" i="57" s="1"/>
  <c r="L87" i="57"/>
  <c r="N87" i="57" s="1"/>
  <c r="L79" i="57"/>
  <c r="N79" i="57" s="1"/>
  <c r="L63" i="57"/>
  <c r="N63" i="57" s="1"/>
  <c r="L148" i="57"/>
  <c r="N148" i="57" s="1"/>
  <c r="H28" i="55"/>
  <c r="E28" i="55"/>
  <c r="E26" i="55"/>
  <c r="E43" i="55"/>
  <c r="B1876" i="4"/>
  <c r="B1877" i="4" s="1"/>
  <c r="B1878" i="4" s="1"/>
  <c r="B1879" i="4" s="1"/>
  <c r="B1880" i="4" s="1"/>
  <c r="B1881" i="4" s="1"/>
  <c r="B1882" i="4" s="1"/>
  <c r="O1353" i="44"/>
  <c r="M966" i="44"/>
  <c r="O852" i="44" s="1"/>
  <c r="L966" i="44"/>
  <c r="L967" i="44" s="1"/>
  <c r="L968" i="44" s="1"/>
  <c r="L969" i="44" s="1"/>
  <c r="L970" i="44" s="1"/>
  <c r="H58" i="55"/>
  <c r="H54" i="55"/>
  <c r="H49" i="55"/>
  <c r="H45" i="55"/>
  <c r="H38" i="55"/>
  <c r="H33" i="55"/>
  <c r="H25" i="55"/>
  <c r="H19" i="55"/>
  <c r="H14" i="55"/>
  <c r="E59" i="55"/>
  <c r="E55" i="55"/>
  <c r="E51" i="55"/>
  <c r="E47" i="55"/>
  <c r="E38" i="55"/>
  <c r="E34" i="55"/>
  <c r="E30" i="55"/>
  <c r="E24" i="55"/>
  <c r="E20" i="55"/>
  <c r="E33" i="55"/>
  <c r="E15" i="55"/>
  <c r="H57" i="55"/>
  <c r="H52" i="55"/>
  <c r="H42" i="55"/>
  <c r="H37" i="55"/>
  <c r="H32" i="55"/>
  <c r="H23" i="55"/>
  <c r="H17" i="55"/>
  <c r="H13" i="55"/>
  <c r="E58" i="55"/>
  <c r="E54" i="55"/>
  <c r="E50" i="55"/>
  <c r="E46" i="55"/>
  <c r="E42" i="55"/>
  <c r="E37" i="55"/>
  <c r="E29" i="55"/>
  <c r="H60" i="55"/>
  <c r="H56" i="55"/>
  <c r="H51" i="55"/>
  <c r="H47" i="55"/>
  <c r="H41" i="55"/>
  <c r="H36" i="55"/>
  <c r="H30" i="55"/>
  <c r="H22" i="55"/>
  <c r="H16" i="55"/>
  <c r="E57" i="55"/>
  <c r="E53" i="55"/>
  <c r="E49" i="55"/>
  <c r="E45" i="55"/>
  <c r="E41" i="55"/>
  <c r="E36" i="55"/>
  <c r="E32" i="55"/>
  <c r="E27" i="55"/>
  <c r="E22" i="55"/>
  <c r="E14" i="55"/>
  <c r="E25" i="55"/>
  <c r="E17" i="55"/>
  <c r="E16" i="55"/>
  <c r="E23" i="55"/>
  <c r="H59" i="55"/>
  <c r="H50" i="55"/>
  <c r="H39" i="55"/>
  <c r="H34" i="55"/>
  <c r="H27" i="55"/>
  <c r="H21" i="55"/>
  <c r="H15" i="55"/>
  <c r="E60" i="55"/>
  <c r="E56" i="55"/>
  <c r="E52" i="55"/>
  <c r="E48" i="55"/>
  <c r="E44" i="55"/>
  <c r="E39" i="55"/>
  <c r="E35" i="55"/>
  <c r="E31" i="55"/>
  <c r="E21" i="55"/>
  <c r="E13" i="55"/>
  <c r="E12" i="55"/>
  <c r="E19" i="55"/>
  <c r="O1354" i="44"/>
  <c r="O1355" i="44" s="1"/>
  <c r="K1725" i="44"/>
  <c r="O1347" i="3"/>
  <c r="O2271" i="3"/>
  <c r="P2271" i="3"/>
  <c r="O2307" i="3"/>
  <c r="P2307" i="3"/>
  <c r="O1939" i="3"/>
  <c r="P1939" i="3"/>
  <c r="O1315" i="3"/>
  <c r="O1316" i="3" s="1"/>
  <c r="O1390" i="44"/>
  <c r="J1538" i="44"/>
  <c r="M1538" i="44" s="1"/>
  <c r="H1539" i="44"/>
  <c r="J1503" i="44"/>
  <c r="M1503" i="44" s="1"/>
  <c r="H1456" i="44"/>
  <c r="J1455" i="44"/>
  <c r="M1455" i="44" s="1"/>
  <c r="O1308" i="44" s="1"/>
  <c r="O1266" i="44"/>
  <c r="J1414" i="44"/>
  <c r="M1414" i="44" s="1"/>
  <c r="H1415" i="44"/>
  <c r="J1371" i="44"/>
  <c r="M1371" i="44" s="1"/>
  <c r="O1224" i="44" s="1"/>
  <c r="H1372" i="44"/>
  <c r="O1182" i="44"/>
  <c r="O1070" i="44"/>
  <c r="O1110" i="44"/>
  <c r="J1330" i="44"/>
  <c r="M1330" i="44" s="1"/>
  <c r="H1331" i="44"/>
  <c r="O983" i="44"/>
  <c r="H1288" i="44"/>
  <c r="J1287" i="44"/>
  <c r="M1287" i="44" s="1"/>
  <c r="O1142" i="44"/>
  <c r="M1013" i="44"/>
  <c r="J1251" i="44"/>
  <c r="M1251" i="44" s="1"/>
  <c r="H1252" i="44"/>
  <c r="J1252" i="44" s="1"/>
  <c r="M1252" i="44" s="1"/>
  <c r="O1030" i="44"/>
  <c r="H1216" i="44"/>
  <c r="J1215" i="44"/>
  <c r="M1215" i="44" s="1"/>
  <c r="J1461" i="3"/>
  <c r="M1461" i="3" s="1"/>
  <c r="H1462" i="3"/>
  <c r="M1058" i="44"/>
  <c r="O944" i="44" s="1"/>
  <c r="L1096" i="44"/>
  <c r="J1096" i="44"/>
  <c r="M1096" i="44" s="1"/>
  <c r="J922" i="44"/>
  <c r="M922" i="44" s="1"/>
  <c r="L1014" i="44"/>
  <c r="L1015" i="44" s="1"/>
  <c r="L1016" i="44" s="1"/>
  <c r="L1017" i="44" s="1"/>
  <c r="L1018" i="44" s="1"/>
  <c r="L1019" i="44" s="1"/>
  <c r="L1020" i="44" s="1"/>
  <c r="L1021" i="44" s="1"/>
  <c r="L1022" i="44" s="1"/>
  <c r="L1023" i="44" s="1"/>
  <c r="L1024" i="44" s="1"/>
  <c r="J1059" i="44"/>
  <c r="M1059" i="44" s="1"/>
  <c r="H1099" i="44"/>
  <c r="H1062" i="44"/>
  <c r="J921" i="44"/>
  <c r="M921" i="44" s="1"/>
  <c r="O807" i="44" s="1"/>
  <c r="H1015" i="44"/>
  <c r="J1014" i="44"/>
  <c r="M1014" i="44" s="1"/>
  <c r="H924" i="44"/>
  <c r="J923" i="44"/>
  <c r="M923" i="44" s="1"/>
  <c r="M839" i="44"/>
  <c r="O724" i="44" s="1"/>
  <c r="H879" i="44"/>
  <c r="J878" i="44"/>
  <c r="M878" i="44" s="1"/>
  <c r="O764" i="44" s="1"/>
  <c r="J840" i="44"/>
  <c r="M840" i="44" s="1"/>
  <c r="J841" i="44"/>
  <c r="M841" i="44" s="1"/>
  <c r="H843" i="44"/>
  <c r="J842" i="44"/>
  <c r="M842" i="44" s="1"/>
  <c r="J1608" i="44"/>
  <c r="K1608" i="44"/>
  <c r="L1608" i="44" s="1"/>
  <c r="L1609" i="44" s="1"/>
  <c r="L1610" i="44" s="1"/>
  <c r="L1611" i="44" s="1"/>
  <c r="L1612" i="44" s="1"/>
  <c r="L1613" i="44" s="1"/>
  <c r="L1614" i="44" s="1"/>
  <c r="L1615" i="44" s="1"/>
  <c r="L1616" i="44" s="1"/>
  <c r="L1617" i="44" s="1"/>
  <c r="L1618" i="44" s="1"/>
  <c r="L1619" i="44" s="1"/>
  <c r="J804" i="44"/>
  <c r="M804" i="44" s="1"/>
  <c r="O689" i="44" s="1"/>
  <c r="H805" i="44"/>
  <c r="H624" i="44"/>
  <c r="J623" i="44"/>
  <c r="M623" i="44" s="1"/>
  <c r="O546" i="44" s="1"/>
  <c r="K1572" i="44"/>
  <c r="L1572" i="44" s="1"/>
  <c r="J2093" i="3"/>
  <c r="M2093" i="3" s="1"/>
  <c r="L2093" i="3"/>
  <c r="L2094" i="3" s="1"/>
  <c r="L2095" i="3" s="1"/>
  <c r="L2096" i="3" s="1"/>
  <c r="L2097" i="3" s="1"/>
  <c r="L2098" i="3" s="1"/>
  <c r="J1572" i="44"/>
  <c r="H1609" i="44"/>
  <c r="J1690" i="44"/>
  <c r="M1690" i="44" s="1"/>
  <c r="O1543" i="44" s="1"/>
  <c r="J1724" i="44"/>
  <c r="M1724" i="44" s="1"/>
  <c r="O1580" i="44" s="1"/>
  <c r="H1575" i="44"/>
  <c r="J1653" i="44"/>
  <c r="M1653" i="44" s="1"/>
  <c r="O1511" i="44" s="1"/>
  <c r="L1653" i="44"/>
  <c r="L1654" i="44" s="1"/>
  <c r="L1655" i="44" s="1"/>
  <c r="L1656" i="44" s="1"/>
  <c r="L1657" i="44" s="1"/>
  <c r="L1658" i="44" s="1"/>
  <c r="H1691" i="44"/>
  <c r="H1692" i="44" s="1"/>
  <c r="H1693" i="44" s="1"/>
  <c r="L1690" i="44"/>
  <c r="L1691" i="44" s="1"/>
  <c r="L1692" i="44" s="1"/>
  <c r="L1693" i="44" s="1"/>
  <c r="J1764" i="44"/>
  <c r="M1764" i="44" s="1"/>
  <c r="L1724" i="44"/>
  <c r="H1654" i="44"/>
  <c r="L1765" i="44"/>
  <c r="L1766" i="44" s="1"/>
  <c r="L1767" i="44" s="1"/>
  <c r="L1768" i="44" s="1"/>
  <c r="L1769" i="44" s="1"/>
  <c r="L1770" i="44" s="1"/>
  <c r="L1771" i="44" s="1"/>
  <c r="M1763" i="44"/>
  <c r="O1616" i="44" s="1"/>
  <c r="H1725" i="44"/>
  <c r="K1730" i="44"/>
  <c r="K1728" i="44"/>
  <c r="K1726" i="44"/>
  <c r="K1731" i="44"/>
  <c r="K1729" i="44"/>
  <c r="K1727" i="44"/>
  <c r="H1765" i="44"/>
  <c r="L2452" i="3"/>
  <c r="L2453" i="3" s="1"/>
  <c r="L2454" i="3" s="1"/>
  <c r="L2455" i="3" s="1"/>
  <c r="L2456" i="3" s="1"/>
  <c r="L2457" i="3" s="1"/>
  <c r="L2458" i="3" s="1"/>
  <c r="L2459" i="3" s="1"/>
  <c r="H2094" i="3"/>
  <c r="L2416" i="3"/>
  <c r="H2453" i="3"/>
  <c r="H2419" i="3"/>
  <c r="A827" i="4"/>
  <c r="K21" i="45"/>
  <c r="K20" i="45"/>
  <c r="K19" i="45"/>
  <c r="K18" i="45"/>
  <c r="K17" i="45"/>
  <c r="K16" i="45"/>
  <c r="L15" i="45"/>
  <c r="H15" i="45"/>
  <c r="J9" i="45"/>
  <c r="K21" i="10"/>
  <c r="K20" i="10"/>
  <c r="K19" i="10"/>
  <c r="K18" i="10"/>
  <c r="K17" i="10"/>
  <c r="K16" i="10"/>
  <c r="L15" i="10"/>
  <c r="L16" i="10" s="1"/>
  <c r="L17" i="10" s="1"/>
  <c r="L18" i="10" s="1"/>
  <c r="H15" i="10"/>
  <c r="H16" i="10" s="1"/>
  <c r="J9" i="10"/>
  <c r="K1807" i="44"/>
  <c r="K1806" i="44"/>
  <c r="K1805" i="44"/>
  <c r="K1804" i="44"/>
  <c r="K1803" i="44"/>
  <c r="K1802" i="44"/>
  <c r="L1801" i="44"/>
  <c r="H1801" i="44"/>
  <c r="H1802" i="44" s="1"/>
  <c r="J1795" i="44"/>
  <c r="K700" i="44"/>
  <c r="K699" i="44"/>
  <c r="K698" i="44"/>
  <c r="L696" i="44"/>
  <c r="K697" i="44" s="1"/>
  <c r="H696" i="44"/>
  <c r="H697" i="44" s="1"/>
  <c r="J690" i="44"/>
  <c r="K591" i="44"/>
  <c r="K590" i="44"/>
  <c r="K589" i="44"/>
  <c r="K588" i="44"/>
  <c r="K587" i="44"/>
  <c r="L585" i="44"/>
  <c r="H585" i="44"/>
  <c r="H586" i="44" s="1"/>
  <c r="H587" i="44" s="1"/>
  <c r="J579" i="44"/>
  <c r="K555" i="44"/>
  <c r="K554" i="44"/>
  <c r="K553" i="44"/>
  <c r="K552" i="44"/>
  <c r="K551" i="44"/>
  <c r="K550" i="44"/>
  <c r="L549" i="44"/>
  <c r="H549" i="44"/>
  <c r="H550" i="44" s="1"/>
  <c r="J543" i="44"/>
  <c r="K519" i="44"/>
  <c r="K518" i="44"/>
  <c r="K517" i="44"/>
  <c r="K516" i="44"/>
  <c r="K515" i="44"/>
  <c r="K514" i="44"/>
  <c r="K513" i="44"/>
  <c r="K512" i="44"/>
  <c r="K511" i="44"/>
  <c r="K510" i="44"/>
  <c r="L509" i="44"/>
  <c r="M509" i="44" s="1"/>
  <c r="H509" i="44"/>
  <c r="H510" i="44" s="1"/>
  <c r="J503" i="44"/>
  <c r="K478" i="44"/>
  <c r="K477" i="44"/>
  <c r="K476" i="44"/>
  <c r="K475" i="44"/>
  <c r="K474" i="44"/>
  <c r="K473" i="44"/>
  <c r="L472" i="44"/>
  <c r="M472" i="44" s="1"/>
  <c r="O393" i="44" s="1"/>
  <c r="H472" i="44"/>
  <c r="H473" i="44" s="1"/>
  <c r="J466" i="44"/>
  <c r="K440" i="44"/>
  <c r="K439" i="44"/>
  <c r="K438" i="44"/>
  <c r="K437" i="44"/>
  <c r="K436" i="44"/>
  <c r="L434" i="44"/>
  <c r="H434" i="44"/>
  <c r="H435" i="44" s="1"/>
  <c r="H436" i="44" s="1"/>
  <c r="J428" i="44"/>
  <c r="L392" i="44"/>
  <c r="K402" i="44" s="1"/>
  <c r="H392" i="44"/>
  <c r="H393" i="44" s="1"/>
  <c r="J386" i="44"/>
  <c r="L350" i="44"/>
  <c r="K361" i="44" s="1"/>
  <c r="H350" i="44"/>
  <c r="H351" i="44" s="1"/>
  <c r="J344" i="44"/>
  <c r="O254" i="44"/>
  <c r="K204" i="44"/>
  <c r="K203" i="44"/>
  <c r="K200" i="44"/>
  <c r="K199" i="44"/>
  <c r="K196" i="44"/>
  <c r="K195" i="44"/>
  <c r="L194" i="44"/>
  <c r="H194" i="44"/>
  <c r="J188" i="44"/>
  <c r="K164" i="44"/>
  <c r="K163" i="44"/>
  <c r="K162" i="44"/>
  <c r="L160" i="44"/>
  <c r="K161" i="44" s="1"/>
  <c r="H160" i="44"/>
  <c r="H161" i="44" s="1"/>
  <c r="J154" i="44"/>
  <c r="K95" i="44"/>
  <c r="K94" i="44"/>
  <c r="K93" i="44"/>
  <c r="K92" i="44"/>
  <c r="K91" i="44"/>
  <c r="K90" i="44"/>
  <c r="K89" i="44"/>
  <c r="K88" i="44"/>
  <c r="L87" i="44"/>
  <c r="M87" i="44" s="1"/>
  <c r="O87" i="44" s="1"/>
  <c r="H87" i="44"/>
  <c r="H88" i="44" s="1"/>
  <c r="J81" i="44"/>
  <c r="K57" i="44"/>
  <c r="K56" i="44"/>
  <c r="K55" i="44"/>
  <c r="K54" i="44"/>
  <c r="K53" i="44"/>
  <c r="L52" i="44"/>
  <c r="M52" i="44" s="1"/>
  <c r="H52" i="44"/>
  <c r="J46" i="44"/>
  <c r="K2501" i="3"/>
  <c r="K2500" i="3"/>
  <c r="K2499" i="3"/>
  <c r="K2498" i="3"/>
  <c r="K2497" i="3"/>
  <c r="K2496" i="3"/>
  <c r="K2495" i="3"/>
  <c r="K2494" i="3"/>
  <c r="K2493" i="3"/>
  <c r="K2492" i="3"/>
  <c r="K2491" i="3"/>
  <c r="K2490" i="3"/>
  <c r="L2489" i="3"/>
  <c r="H2489" i="3"/>
  <c r="J2483" i="3"/>
  <c r="K2385" i="3"/>
  <c r="K2384" i="3"/>
  <c r="K2383" i="3"/>
  <c r="K2382" i="3"/>
  <c r="K2381" i="3"/>
  <c r="K2380" i="3"/>
  <c r="K2379" i="3"/>
  <c r="K2378" i="3"/>
  <c r="K2377" i="3"/>
  <c r="K2376" i="3"/>
  <c r="K2375" i="3"/>
  <c r="K2374" i="3"/>
  <c r="L2373" i="3"/>
  <c r="H2373" i="3"/>
  <c r="H2374" i="3" s="1"/>
  <c r="J2367" i="3"/>
  <c r="K2307" i="3"/>
  <c r="K2306" i="3"/>
  <c r="K2305" i="3"/>
  <c r="K2304" i="3"/>
  <c r="K2303" i="3"/>
  <c r="K2302" i="3"/>
  <c r="L2301" i="3"/>
  <c r="H2301" i="3"/>
  <c r="J2295" i="3"/>
  <c r="K2233" i="3"/>
  <c r="K2232" i="3"/>
  <c r="K2231" i="3"/>
  <c r="K2230" i="3"/>
  <c r="L2229" i="3"/>
  <c r="M2229" i="3" s="1"/>
  <c r="P2078" i="3" s="1"/>
  <c r="H2229" i="3"/>
  <c r="J2223" i="3"/>
  <c r="K2199" i="3"/>
  <c r="K2198" i="3"/>
  <c r="K2197" i="3"/>
  <c r="K2196" i="3"/>
  <c r="L2195" i="3"/>
  <c r="M2195" i="3" s="1"/>
  <c r="P2044" i="3" s="1"/>
  <c r="H2195" i="3"/>
  <c r="H2196" i="3" s="1"/>
  <c r="J2189" i="3"/>
  <c r="K2165" i="3"/>
  <c r="K2164" i="3"/>
  <c r="K2163" i="3"/>
  <c r="K2162" i="3"/>
  <c r="L2161" i="3"/>
  <c r="M2161" i="3" s="1"/>
  <c r="P2013" i="3" s="1"/>
  <c r="H2161" i="3"/>
  <c r="H2162" i="3" s="1"/>
  <c r="J2155" i="3"/>
  <c r="K2131" i="3"/>
  <c r="K2130" i="3"/>
  <c r="K2129" i="3"/>
  <c r="K2128" i="3"/>
  <c r="L2127" i="3"/>
  <c r="H2127" i="3"/>
  <c r="H2128" i="3" s="1"/>
  <c r="J2121" i="3"/>
  <c r="K2062" i="3"/>
  <c r="K2061" i="3"/>
  <c r="K2060" i="3"/>
  <c r="K2059" i="3"/>
  <c r="K2058" i="3"/>
  <c r="K2057" i="3"/>
  <c r="K2056" i="3"/>
  <c r="K2055" i="3"/>
  <c r="L2054" i="3"/>
  <c r="H2054" i="3"/>
  <c r="H2055" i="3" s="1"/>
  <c r="J2048" i="3"/>
  <c r="K2024" i="3"/>
  <c r="K2023" i="3"/>
  <c r="K2022" i="3"/>
  <c r="K2021" i="3"/>
  <c r="K2020" i="3"/>
  <c r="K2019" i="3"/>
  <c r="K2018" i="3"/>
  <c r="K2017" i="3"/>
  <c r="K2016" i="3"/>
  <c r="K2015" i="3"/>
  <c r="K2014" i="3"/>
  <c r="K2013" i="3"/>
  <c r="L2012" i="3"/>
  <c r="M2012" i="3" s="1"/>
  <c r="H2012" i="3"/>
  <c r="H2013" i="3" s="1"/>
  <c r="H2014" i="3" s="1"/>
  <c r="H2015" i="3" s="1"/>
  <c r="H2016" i="3" s="1"/>
  <c r="H2017" i="3" s="1"/>
  <c r="H2018" i="3" s="1"/>
  <c r="H2019" i="3" s="1"/>
  <c r="H2020" i="3" s="1"/>
  <c r="H2021" i="3" s="1"/>
  <c r="H2022" i="3" s="1"/>
  <c r="H2023" i="3" s="1"/>
  <c r="J2006" i="3"/>
  <c r="K1982" i="3"/>
  <c r="K1981" i="3"/>
  <c r="K1980" i="3"/>
  <c r="K1979" i="3"/>
  <c r="K1978" i="3"/>
  <c r="K1977" i="3"/>
  <c r="K1976" i="3"/>
  <c r="K1975" i="3"/>
  <c r="K1974" i="3"/>
  <c r="K1973" i="3"/>
  <c r="K1972" i="3"/>
  <c r="K1971" i="3"/>
  <c r="L1970" i="3"/>
  <c r="M1970" i="3" s="1"/>
  <c r="H1970" i="3"/>
  <c r="H1971" i="3" s="1"/>
  <c r="J1964" i="3"/>
  <c r="K1940" i="3"/>
  <c r="K1939" i="3"/>
  <c r="K1938" i="3"/>
  <c r="K1937" i="3"/>
  <c r="K1936" i="3"/>
  <c r="K1935" i="3"/>
  <c r="L1934" i="3"/>
  <c r="M1934" i="3" s="1"/>
  <c r="H1934" i="3"/>
  <c r="H1935" i="3" s="1"/>
  <c r="H1936" i="3" s="1"/>
  <c r="H1937" i="3" s="1"/>
  <c r="H1938" i="3" s="1"/>
  <c r="H1939" i="3" s="1"/>
  <c r="H1940" i="3" s="1"/>
  <c r="J1928" i="3"/>
  <c r="K1868" i="3"/>
  <c r="K1867" i="3"/>
  <c r="K1866" i="3"/>
  <c r="K1865" i="3"/>
  <c r="K1864" i="3"/>
  <c r="K1863" i="3"/>
  <c r="L1862" i="3"/>
  <c r="M1862" i="3" s="1"/>
  <c r="P1712" i="3" s="1"/>
  <c r="H1862" i="3"/>
  <c r="H1863" i="3" s="1"/>
  <c r="J1856" i="3"/>
  <c r="K1716" i="3"/>
  <c r="K1715" i="3"/>
  <c r="K1714" i="3"/>
  <c r="K1713" i="3"/>
  <c r="L1712" i="3"/>
  <c r="M1712" i="3" s="1"/>
  <c r="H1712" i="3"/>
  <c r="H1713" i="3" s="1"/>
  <c r="J1706" i="3"/>
  <c r="K1683" i="3"/>
  <c r="K1682" i="3"/>
  <c r="K1681" i="3"/>
  <c r="K1680" i="3"/>
  <c r="K1679" i="3"/>
  <c r="K1678" i="3"/>
  <c r="K1677" i="3"/>
  <c r="K1676" i="3"/>
  <c r="L1675" i="3"/>
  <c r="M1675" i="3" s="1"/>
  <c r="H1675" i="3"/>
  <c r="H1676" i="3" s="1"/>
  <c r="H1677" i="3" s="1"/>
  <c r="H1678" i="3" s="1"/>
  <c r="H1679" i="3" s="1"/>
  <c r="H1680" i="3" s="1"/>
  <c r="H1681" i="3" s="1"/>
  <c r="H1682" i="3" s="1"/>
  <c r="H1683" i="3" s="1"/>
  <c r="J1669" i="3"/>
  <c r="K1645" i="3"/>
  <c r="K1644" i="3"/>
  <c r="K1643" i="3"/>
  <c r="K1642" i="3"/>
  <c r="K1641" i="3"/>
  <c r="K1640" i="3"/>
  <c r="K1639" i="3"/>
  <c r="K1638" i="3"/>
  <c r="K1637" i="3"/>
  <c r="K1636" i="3"/>
  <c r="K1635" i="3"/>
  <c r="K1634" i="3"/>
  <c r="K1633" i="3"/>
  <c r="K1632" i="3"/>
  <c r="K1631" i="3"/>
  <c r="K1630" i="3"/>
  <c r="K1629" i="3"/>
  <c r="K1628" i="3"/>
  <c r="K1627" i="3"/>
  <c r="K1626" i="3"/>
  <c r="K1625" i="3"/>
  <c r="K1624" i="3"/>
  <c r="K1623" i="3"/>
  <c r="K1622" i="3"/>
  <c r="K1621" i="3"/>
  <c r="K1620" i="3"/>
  <c r="K1619" i="3"/>
  <c r="K1618" i="3"/>
  <c r="K1617" i="3"/>
  <c r="K1616" i="3"/>
  <c r="K1615" i="3"/>
  <c r="K1614" i="3"/>
  <c r="K1613" i="3"/>
  <c r="K1612" i="3"/>
  <c r="K1611" i="3"/>
  <c r="K1610" i="3"/>
  <c r="L1609" i="3"/>
  <c r="M1609" i="3" s="1"/>
  <c r="H1609" i="3"/>
  <c r="J1603" i="3"/>
  <c r="K1579" i="3"/>
  <c r="K1578" i="3"/>
  <c r="K1577" i="3"/>
  <c r="K1576" i="3"/>
  <c r="K1575" i="3"/>
  <c r="K1574" i="3"/>
  <c r="L1573" i="3"/>
  <c r="M1573" i="3" s="1"/>
  <c r="H1573" i="3"/>
  <c r="J1567" i="3"/>
  <c r="K1543" i="3"/>
  <c r="K1542" i="3"/>
  <c r="K1541" i="3"/>
  <c r="K1540" i="3"/>
  <c r="K1539" i="3"/>
  <c r="K1538" i="3"/>
  <c r="K1537" i="3"/>
  <c r="K1536" i="3"/>
  <c r="K1535" i="3"/>
  <c r="K1534" i="3"/>
  <c r="K1533" i="3"/>
  <c r="K1532" i="3"/>
  <c r="L1531" i="3"/>
  <c r="M1531" i="3" s="1"/>
  <c r="H1531" i="3"/>
  <c r="J1525" i="3"/>
  <c r="K1360" i="3"/>
  <c r="K1359" i="3"/>
  <c r="K1358" i="3"/>
  <c r="K1357" i="3"/>
  <c r="L1356" i="3"/>
  <c r="M1356" i="3" s="1"/>
  <c r="P1246" i="3" s="1"/>
  <c r="H1356" i="3"/>
  <c r="H1357" i="3" s="1"/>
  <c r="H1358" i="3" s="1"/>
  <c r="H1359" i="3" s="1"/>
  <c r="H1360" i="3" s="1"/>
  <c r="J1350" i="3"/>
  <c r="K1326" i="3"/>
  <c r="K1325" i="3"/>
  <c r="K1324" i="3"/>
  <c r="K1323" i="3"/>
  <c r="K1322" i="3"/>
  <c r="K1321" i="3"/>
  <c r="K1320" i="3"/>
  <c r="K1319" i="3"/>
  <c r="K1318" i="3"/>
  <c r="K1317" i="3"/>
  <c r="K1316" i="3"/>
  <c r="K1315" i="3"/>
  <c r="L1314" i="3"/>
  <c r="M1314" i="3" s="1"/>
  <c r="H1314" i="3"/>
  <c r="J1308" i="3"/>
  <c r="K1252" i="3"/>
  <c r="K1251" i="3"/>
  <c r="K1250" i="3"/>
  <c r="K1249" i="3"/>
  <c r="L1248" i="3"/>
  <c r="M1248" i="3" s="1"/>
  <c r="H1248" i="3"/>
  <c r="H1249" i="3" s="1"/>
  <c r="H1250" i="3" s="1"/>
  <c r="H1251" i="3" s="1"/>
  <c r="H1252" i="3" s="1"/>
  <c r="J1242" i="3"/>
  <c r="K1180" i="3"/>
  <c r="K1179" i="3"/>
  <c r="K1178" i="3"/>
  <c r="K1177" i="3"/>
  <c r="L1176" i="3"/>
  <c r="H1176" i="3"/>
  <c r="J1170" i="3"/>
  <c r="K1145" i="3"/>
  <c r="K1144" i="3"/>
  <c r="K1143" i="3"/>
  <c r="K1142" i="3"/>
  <c r="K1141" i="3"/>
  <c r="K1140" i="3"/>
  <c r="K1139" i="3"/>
  <c r="K1138" i="3"/>
  <c r="K1137" i="3"/>
  <c r="K1136" i="3"/>
  <c r="K1135" i="3"/>
  <c r="K1134" i="3"/>
  <c r="L1133" i="3"/>
  <c r="M1133" i="3" s="1"/>
  <c r="P975" i="3" s="1"/>
  <c r="H1133" i="3"/>
  <c r="H1134" i="3" s="1"/>
  <c r="H1135" i="3" s="1"/>
  <c r="H1136" i="3" s="1"/>
  <c r="H1137" i="3" s="1"/>
  <c r="J1127" i="3"/>
  <c r="K899" i="3"/>
  <c r="K898" i="3"/>
  <c r="K897" i="3"/>
  <c r="K896" i="3"/>
  <c r="K895" i="3"/>
  <c r="K894" i="3"/>
  <c r="K893" i="3"/>
  <c r="K892" i="3"/>
  <c r="L891" i="3"/>
  <c r="H891" i="3"/>
  <c r="H892" i="3" s="1"/>
  <c r="H893" i="3" s="1"/>
  <c r="J885" i="3"/>
  <c r="K859" i="3"/>
  <c r="K858" i="3"/>
  <c r="K857" i="3"/>
  <c r="K856" i="3"/>
  <c r="K855" i="3"/>
  <c r="K854" i="3"/>
  <c r="L853" i="3"/>
  <c r="M853" i="3" s="1"/>
  <c r="H853" i="3"/>
  <c r="H854" i="3" s="1"/>
  <c r="J847" i="3"/>
  <c r="K822" i="3"/>
  <c r="K821" i="3"/>
  <c r="K820" i="3"/>
  <c r="K819" i="3"/>
  <c r="K818" i="3"/>
  <c r="K817" i="3"/>
  <c r="K816" i="3"/>
  <c r="K815" i="3"/>
  <c r="K814" i="3"/>
  <c r="K813" i="3"/>
  <c r="K812" i="3"/>
  <c r="K811" i="3"/>
  <c r="L810" i="3"/>
  <c r="H810" i="3"/>
  <c r="H811" i="3" s="1"/>
  <c r="H812" i="3" s="1"/>
  <c r="J804" i="3"/>
  <c r="K742" i="3"/>
  <c r="K741" i="3"/>
  <c r="K740" i="3"/>
  <c r="K739" i="3"/>
  <c r="L738" i="3"/>
  <c r="M738" i="3" s="1"/>
  <c r="O660" i="3" s="1"/>
  <c r="H738" i="3"/>
  <c r="J732" i="3"/>
  <c r="K633" i="3"/>
  <c r="K632" i="3"/>
  <c r="K631" i="3"/>
  <c r="K630" i="3"/>
  <c r="K629" i="3"/>
  <c r="K628" i="3"/>
  <c r="K627" i="3"/>
  <c r="K626" i="3"/>
  <c r="K625" i="3"/>
  <c r="K624" i="3"/>
  <c r="K623" i="3"/>
  <c r="K622" i="3"/>
  <c r="L621" i="3"/>
  <c r="M621" i="3" s="1"/>
  <c r="H621" i="3"/>
  <c r="J615" i="3"/>
  <c r="K537" i="3"/>
  <c r="K536" i="3"/>
  <c r="K535" i="3"/>
  <c r="K534" i="3"/>
  <c r="K533" i="3"/>
  <c r="L532" i="3"/>
  <c r="H532" i="3"/>
  <c r="H533" i="3" s="1"/>
  <c r="J526" i="3"/>
  <c r="K501" i="3"/>
  <c r="K500" i="3"/>
  <c r="K499" i="3"/>
  <c r="K498" i="3"/>
  <c r="L497" i="3"/>
  <c r="M497" i="3" s="1"/>
  <c r="P459" i="3" s="1"/>
  <c r="H497" i="3"/>
  <c r="H498" i="3" s="1"/>
  <c r="J491" i="3"/>
  <c r="K466" i="3"/>
  <c r="K465" i="3"/>
  <c r="K464" i="3"/>
  <c r="K463" i="3"/>
  <c r="L462" i="3"/>
  <c r="M462" i="3" s="1"/>
  <c r="H462" i="3"/>
  <c r="H463" i="3" s="1"/>
  <c r="J456" i="3"/>
  <c r="K431" i="3"/>
  <c r="K430" i="3"/>
  <c r="K429" i="3"/>
  <c r="K428" i="3"/>
  <c r="K427" i="3"/>
  <c r="K426" i="3"/>
  <c r="L425" i="3"/>
  <c r="H425" i="3"/>
  <c r="H426" i="3" s="1"/>
  <c r="J419" i="3"/>
  <c r="K394" i="3"/>
  <c r="K393" i="3"/>
  <c r="K392" i="3"/>
  <c r="K391" i="3"/>
  <c r="L390" i="3"/>
  <c r="M390" i="3" s="1"/>
  <c r="H390" i="3"/>
  <c r="H391" i="3" s="1"/>
  <c r="J384" i="3"/>
  <c r="K359" i="3"/>
  <c r="K358" i="3"/>
  <c r="K357" i="3"/>
  <c r="K356" i="3"/>
  <c r="K355" i="3"/>
  <c r="K354" i="3"/>
  <c r="K353" i="3"/>
  <c r="K352" i="3"/>
  <c r="K351" i="3"/>
  <c r="K350" i="3"/>
  <c r="K349" i="3"/>
  <c r="K348" i="3"/>
  <c r="L347" i="3"/>
  <c r="M347" i="3" s="1"/>
  <c r="H347" i="3"/>
  <c r="H348" i="3" s="1"/>
  <c r="H349" i="3" s="1"/>
  <c r="H350" i="3" s="1"/>
  <c r="J341" i="3"/>
  <c r="K316" i="3"/>
  <c r="K315" i="3"/>
  <c r="K314" i="3"/>
  <c r="K313" i="3"/>
  <c r="K312" i="3"/>
  <c r="K311" i="3"/>
  <c r="K310" i="3"/>
  <c r="K309" i="3"/>
  <c r="K308" i="3"/>
  <c r="K307" i="3"/>
  <c r="K306" i="3"/>
  <c r="K305" i="3"/>
  <c r="L304" i="3"/>
  <c r="M304" i="3" s="1"/>
  <c r="P268" i="3" s="1"/>
  <c r="H304" i="3"/>
  <c r="H305" i="3" s="1"/>
  <c r="J298" i="3"/>
  <c r="K274" i="3"/>
  <c r="K273" i="3"/>
  <c r="K272" i="3"/>
  <c r="K271" i="3"/>
  <c r="K270" i="3"/>
  <c r="K269" i="3"/>
  <c r="K268" i="3"/>
  <c r="K267" i="3"/>
  <c r="K266" i="3"/>
  <c r="K265" i="3"/>
  <c r="K264" i="3"/>
  <c r="K263" i="3"/>
  <c r="L262" i="3"/>
  <c r="M262" i="3" s="1"/>
  <c r="H262" i="3"/>
  <c r="H263" i="3" s="1"/>
  <c r="J256" i="3"/>
  <c r="K199" i="3"/>
  <c r="K198" i="3"/>
  <c r="K197" i="3"/>
  <c r="K196" i="3"/>
  <c r="K195" i="3"/>
  <c r="K194" i="3"/>
  <c r="L193" i="3"/>
  <c r="H193" i="3"/>
  <c r="H194" i="3" s="1"/>
  <c r="H195" i="3" s="1"/>
  <c r="J187" i="3"/>
  <c r="K92" i="3"/>
  <c r="K91" i="3"/>
  <c r="K90" i="3"/>
  <c r="K89" i="3"/>
  <c r="L88" i="3"/>
  <c r="M88" i="3" s="1"/>
  <c r="H88" i="3"/>
  <c r="J82" i="3"/>
  <c r="K58" i="3"/>
  <c r="K57" i="3"/>
  <c r="K56" i="3"/>
  <c r="K55" i="3"/>
  <c r="K54" i="3"/>
  <c r="K53" i="3"/>
  <c r="L52" i="3"/>
  <c r="M52" i="3" s="1"/>
  <c r="H52" i="3"/>
  <c r="J46" i="3"/>
  <c r="O2308" i="3" l="1"/>
  <c r="J1060" i="44"/>
  <c r="M1060" i="44" s="1"/>
  <c r="H53" i="44"/>
  <c r="O899" i="44"/>
  <c r="L19" i="10"/>
  <c r="L20" i="10" s="1"/>
  <c r="L21" i="10" s="1"/>
  <c r="M15" i="10"/>
  <c r="L16" i="45"/>
  <c r="L17" i="45" s="1"/>
  <c r="L18" i="45" s="1"/>
  <c r="L19" i="45" s="1"/>
  <c r="L20" i="45" s="1"/>
  <c r="L21" i="45" s="1"/>
  <c r="K242" i="44"/>
  <c r="K237" i="44"/>
  <c r="L237" i="44" s="1"/>
  <c r="K238" i="44"/>
  <c r="K241" i="44"/>
  <c r="H195" i="44"/>
  <c r="H196" i="44" s="1"/>
  <c r="H197" i="44" s="1"/>
  <c r="K239" i="44"/>
  <c r="K240" i="44"/>
  <c r="L1139" i="44"/>
  <c r="J1139" i="44"/>
  <c r="P30" i="57"/>
  <c r="P135" i="57"/>
  <c r="P59" i="57"/>
  <c r="P74" i="57"/>
  <c r="P150" i="57"/>
  <c r="P124" i="57"/>
  <c r="P6" i="57"/>
  <c r="P80" i="57"/>
  <c r="P9" i="57"/>
  <c r="P113" i="57"/>
  <c r="P32" i="57"/>
  <c r="P115" i="57"/>
  <c r="P50" i="57"/>
  <c r="P93" i="57"/>
  <c r="P20" i="57"/>
  <c r="P63" i="57"/>
  <c r="P126" i="57"/>
  <c r="P39" i="57"/>
  <c r="P138" i="57"/>
  <c r="P155" i="57"/>
  <c r="P139" i="57"/>
  <c r="P86" i="57"/>
  <c r="P38" i="57"/>
  <c r="P24" i="57"/>
  <c r="P34" i="57"/>
  <c r="P145" i="57"/>
  <c r="P11" i="57"/>
  <c r="P148" i="57"/>
  <c r="P133" i="57"/>
  <c r="P79" i="57"/>
  <c r="P121" i="57"/>
  <c r="P92" i="57"/>
  <c r="P136" i="57"/>
  <c r="P156" i="57"/>
  <c r="P82" i="57"/>
  <c r="P96" i="57"/>
  <c r="P49" i="57"/>
  <c r="P162" i="57"/>
  <c r="P147" i="57"/>
  <c r="P35" i="57"/>
  <c r="P33" i="57"/>
  <c r="P103" i="57"/>
  <c r="P22" i="57"/>
  <c r="P100" i="57"/>
  <c r="P129" i="57"/>
  <c r="P81" i="57"/>
  <c r="P21" i="57"/>
  <c r="P105" i="57"/>
  <c r="P53" i="57"/>
  <c r="P26" i="57"/>
  <c r="P127" i="57"/>
  <c r="P153" i="57"/>
  <c r="P125" i="57"/>
  <c r="P154" i="57"/>
  <c r="P112" i="57"/>
  <c r="P41" i="57"/>
  <c r="P160" i="57"/>
  <c r="P87" i="57"/>
  <c r="P159" i="57"/>
  <c r="P137" i="57"/>
  <c r="P48" i="57"/>
  <c r="P5" i="57"/>
  <c r="P157" i="57"/>
  <c r="P19" i="57"/>
  <c r="P37" i="57"/>
  <c r="P134" i="57"/>
  <c r="P161" i="57"/>
  <c r="P31" i="57"/>
  <c r="P151" i="57"/>
  <c r="P149" i="57"/>
  <c r="P23" i="57"/>
  <c r="P95" i="57"/>
  <c r="P18" i="57"/>
  <c r="P12" i="57"/>
  <c r="P3" i="57"/>
  <c r="P146" i="57"/>
  <c r="P97" i="57"/>
  <c r="P52" i="57"/>
  <c r="P152" i="57"/>
  <c r="P91" i="57"/>
  <c r="P10" i="57"/>
  <c r="P120" i="57"/>
  <c r="P114" i="57"/>
  <c r="P58" i="57"/>
  <c r="P28" i="57"/>
  <c r="P88" i="57"/>
  <c r="P158" i="57"/>
  <c r="P36" i="57"/>
  <c r="P98" i="57"/>
  <c r="P102" i="57"/>
  <c r="P29" i="57"/>
  <c r="P89" i="57"/>
  <c r="P51" i="57"/>
  <c r="P116" i="57"/>
  <c r="P25" i="57"/>
  <c r="P101" i="57"/>
  <c r="P104" i="57"/>
  <c r="P27" i="57"/>
  <c r="P40" i="57"/>
  <c r="P4" i="57"/>
  <c r="J88" i="44"/>
  <c r="M88" i="44" s="1"/>
  <c r="O88" i="44" s="1"/>
  <c r="O777" i="3"/>
  <c r="P777" i="3"/>
  <c r="P1606" i="3"/>
  <c r="H2490" i="3"/>
  <c r="H2491" i="3" s="1"/>
  <c r="H2492" i="3" s="1"/>
  <c r="B1883" i="4"/>
  <c r="B1885" i="4" s="1"/>
  <c r="B1886" i="4" s="1"/>
  <c r="B1887" i="4" s="1"/>
  <c r="B1888" i="4" s="1"/>
  <c r="B1889" i="4" s="1"/>
  <c r="B1890" i="4" s="1"/>
  <c r="B1891" i="4" s="1"/>
  <c r="B1892" i="4" s="1"/>
  <c r="B1893" i="4" s="1"/>
  <c r="B1895" i="4" s="1"/>
  <c r="B1896" i="4" s="1"/>
  <c r="B1897" i="4" s="1"/>
  <c r="H1177" i="3"/>
  <c r="H1178" i="3" s="1"/>
  <c r="M1178" i="3" s="1"/>
  <c r="H2302" i="3"/>
  <c r="H2303" i="3" s="1"/>
  <c r="H1315" i="3"/>
  <c r="H1316" i="3" s="1"/>
  <c r="H2230" i="3"/>
  <c r="H1574" i="3"/>
  <c r="J1574" i="3" s="1"/>
  <c r="M1574" i="3" s="1"/>
  <c r="H1532" i="3"/>
  <c r="H1533" i="3" s="1"/>
  <c r="H1534" i="3" s="1"/>
  <c r="H1535" i="3" s="1"/>
  <c r="H1536" i="3" s="1"/>
  <c r="H1537" i="3" s="1"/>
  <c r="H1538" i="3" s="1"/>
  <c r="H1539" i="3" s="1"/>
  <c r="H1540" i="3" s="1"/>
  <c r="H1541" i="3" s="1"/>
  <c r="H1542" i="3" s="1"/>
  <c r="H89" i="3"/>
  <c r="H90" i="3" s="1"/>
  <c r="H91" i="3" s="1"/>
  <c r="H92" i="3" s="1"/>
  <c r="H4" i="4"/>
  <c r="M4" i="54"/>
  <c r="M4" i="10"/>
  <c r="M4" i="45"/>
  <c r="M4" i="3"/>
  <c r="M4" i="44"/>
  <c r="N6" i="53"/>
  <c r="I4" i="55"/>
  <c r="I40" i="55" s="1"/>
  <c r="J967" i="44"/>
  <c r="M967" i="44" s="1"/>
  <c r="O853" i="44" s="1"/>
  <c r="L1725" i="44"/>
  <c r="L1726" i="44" s="1"/>
  <c r="L1727" i="44" s="1"/>
  <c r="L1728" i="44" s="1"/>
  <c r="L1729" i="44" s="1"/>
  <c r="L1730" i="44" s="1"/>
  <c r="L1731" i="44" s="1"/>
  <c r="E63" i="55"/>
  <c r="B848" i="4"/>
  <c r="O52" i="44"/>
  <c r="P52" i="44"/>
  <c r="P58" i="44" s="1"/>
  <c r="Q58" i="44" s="1"/>
  <c r="O532" i="3"/>
  <c r="P532" i="3"/>
  <c r="O1641" i="3"/>
  <c r="P1641" i="3"/>
  <c r="O1598" i="3"/>
  <c r="P1598" i="3"/>
  <c r="O1940" i="3"/>
  <c r="O52" i="3"/>
  <c r="P52" i="3"/>
  <c r="O224" i="3"/>
  <c r="P224" i="3"/>
  <c r="O1137" i="3"/>
  <c r="P1137" i="3"/>
  <c r="O1465" i="3"/>
  <c r="P1465" i="3"/>
  <c r="O1563" i="3"/>
  <c r="P1563" i="3"/>
  <c r="O1785" i="3"/>
  <c r="P1785" i="3"/>
  <c r="O1865" i="3"/>
  <c r="P1865" i="3"/>
  <c r="O1348" i="3"/>
  <c r="O88" i="3"/>
  <c r="P88" i="3"/>
  <c r="O1205" i="3"/>
  <c r="P1205" i="3"/>
  <c r="O352" i="3"/>
  <c r="P352" i="3"/>
  <c r="O424" i="3"/>
  <c r="P424" i="3"/>
  <c r="O309" i="3"/>
  <c r="P309" i="3"/>
  <c r="O1423" i="3"/>
  <c r="P1423" i="3"/>
  <c r="O1499" i="3"/>
  <c r="P1499" i="3"/>
  <c r="O1820" i="3"/>
  <c r="P1820" i="3"/>
  <c r="A828" i="4"/>
  <c r="O1391" i="44"/>
  <c r="H1540" i="44"/>
  <c r="H1541" i="44" s="1"/>
  <c r="J1539" i="44"/>
  <c r="M1539" i="44" s="1"/>
  <c r="O1183" i="44"/>
  <c r="O1356" i="44"/>
  <c r="H1457" i="44"/>
  <c r="J1456" i="44"/>
  <c r="M1456" i="44" s="1"/>
  <c r="O1309" i="44" s="1"/>
  <c r="O984" i="44"/>
  <c r="O1071" i="44"/>
  <c r="H1416" i="44"/>
  <c r="J1415" i="44"/>
  <c r="M1415" i="44" s="1"/>
  <c r="O1267" i="44"/>
  <c r="H1373" i="44"/>
  <c r="J1372" i="44"/>
  <c r="M1372" i="44" s="1"/>
  <c r="O1225" i="44" s="1"/>
  <c r="O1111" i="44"/>
  <c r="O1112" i="44" s="1"/>
  <c r="H1332" i="44"/>
  <c r="J1331" i="44"/>
  <c r="M1331" i="44" s="1"/>
  <c r="O1143" i="44"/>
  <c r="J1288" i="44"/>
  <c r="M1288" i="44" s="1"/>
  <c r="H1289" i="44"/>
  <c r="O1031" i="44"/>
  <c r="J1061" i="44"/>
  <c r="M1061" i="44" s="1"/>
  <c r="H1217" i="44"/>
  <c r="J1216" i="44"/>
  <c r="M1216" i="44" s="1"/>
  <c r="H1463" i="3"/>
  <c r="J1462" i="3"/>
  <c r="M1462" i="3" s="1"/>
  <c r="O945" i="44"/>
  <c r="O808" i="44"/>
  <c r="O809" i="44" s="1"/>
  <c r="L1097" i="44"/>
  <c r="J1097" i="44"/>
  <c r="M1097" i="44" s="1"/>
  <c r="H1100" i="44"/>
  <c r="O900" i="44"/>
  <c r="J1062" i="44"/>
  <c r="M1062" i="44" s="1"/>
  <c r="H1063" i="44"/>
  <c r="J1063" i="44" s="1"/>
  <c r="M1063" i="44" s="1"/>
  <c r="H1016" i="44"/>
  <c r="J1015" i="44"/>
  <c r="M1015" i="44" s="1"/>
  <c r="O725" i="44"/>
  <c r="O726" i="44" s="1"/>
  <c r="O727" i="44" s="1"/>
  <c r="H925" i="44"/>
  <c r="J924" i="44"/>
  <c r="M924" i="44" s="1"/>
  <c r="J879" i="44"/>
  <c r="M879" i="44" s="1"/>
  <c r="O765" i="44" s="1"/>
  <c r="H880" i="44"/>
  <c r="J843" i="44"/>
  <c r="M843" i="44" s="1"/>
  <c r="H844" i="44"/>
  <c r="J844" i="44" s="1"/>
  <c r="M844" i="44" s="1"/>
  <c r="J805" i="44"/>
  <c r="M805" i="44" s="1"/>
  <c r="O690" i="44" s="1"/>
  <c r="H806" i="44"/>
  <c r="M1608" i="44"/>
  <c r="O1464" i="44" s="1"/>
  <c r="J1573" i="44"/>
  <c r="M1573" i="44" s="1"/>
  <c r="L1573" i="44"/>
  <c r="M1572" i="44"/>
  <c r="O1431" i="44" s="1"/>
  <c r="J624" i="44"/>
  <c r="M624" i="44" s="1"/>
  <c r="H625" i="44"/>
  <c r="L1863" i="3"/>
  <c r="L1864" i="3" s="1"/>
  <c r="L1865" i="3" s="1"/>
  <c r="L1866" i="3" s="1"/>
  <c r="L1867" i="3" s="1"/>
  <c r="L1868" i="3" s="1"/>
  <c r="H1610" i="44"/>
  <c r="J1609" i="44"/>
  <c r="M1609" i="44" s="1"/>
  <c r="J1692" i="44"/>
  <c r="M1692" i="44" s="1"/>
  <c r="J1693" i="44"/>
  <c r="M1693" i="44" s="1"/>
  <c r="J1691" i="44"/>
  <c r="M1691" i="44" s="1"/>
  <c r="O1544" i="44" s="1"/>
  <c r="H1576" i="44"/>
  <c r="J586" i="44"/>
  <c r="K400" i="44"/>
  <c r="H1655" i="44"/>
  <c r="J1654" i="44"/>
  <c r="M1654" i="44" s="1"/>
  <c r="O1512" i="44" s="1"/>
  <c r="O1617" i="44"/>
  <c r="K403" i="44"/>
  <c r="M392" i="44"/>
  <c r="O313" i="44" s="1"/>
  <c r="H1726" i="44"/>
  <c r="J1725" i="44"/>
  <c r="M1725" i="44" s="1"/>
  <c r="O1581" i="44" s="1"/>
  <c r="M160" i="44"/>
  <c r="O160" i="44" s="1"/>
  <c r="K395" i="44"/>
  <c r="L550" i="44"/>
  <c r="L551" i="44" s="1"/>
  <c r="L552" i="44" s="1"/>
  <c r="L553" i="44" s="1"/>
  <c r="L554" i="44" s="1"/>
  <c r="L555" i="44" s="1"/>
  <c r="L1802" i="44"/>
  <c r="L1803" i="44" s="1"/>
  <c r="L1804" i="44" s="1"/>
  <c r="L1805" i="44" s="1"/>
  <c r="L1806" i="44" s="1"/>
  <c r="L1807" i="44" s="1"/>
  <c r="K399" i="44"/>
  <c r="L53" i="44"/>
  <c r="L54" i="44" s="1"/>
  <c r="L55" i="44" s="1"/>
  <c r="L56" i="44" s="1"/>
  <c r="L57" i="44" s="1"/>
  <c r="L510" i="44"/>
  <c r="L511" i="44" s="1"/>
  <c r="L512" i="44" s="1"/>
  <c r="L513" i="44" s="1"/>
  <c r="L514" i="44" s="1"/>
  <c r="L515" i="44" s="1"/>
  <c r="L516" i="44" s="1"/>
  <c r="L517" i="44" s="1"/>
  <c r="L518" i="44" s="1"/>
  <c r="L519" i="44" s="1"/>
  <c r="H1766" i="44"/>
  <c r="J1765" i="44"/>
  <c r="M1765" i="44" s="1"/>
  <c r="J53" i="44"/>
  <c r="M53" i="44" s="1"/>
  <c r="K396" i="44"/>
  <c r="K404" i="44"/>
  <c r="J435" i="44"/>
  <c r="K393" i="44"/>
  <c r="L393" i="44" s="1"/>
  <c r="K397" i="44"/>
  <c r="K401" i="44"/>
  <c r="M549" i="44"/>
  <c r="O470" i="44" s="1"/>
  <c r="M696" i="44"/>
  <c r="O580" i="44" s="1"/>
  <c r="M1801" i="44"/>
  <c r="O1654" i="44" s="1"/>
  <c r="L88" i="44"/>
  <c r="L89" i="44" s="1"/>
  <c r="L90" i="44" s="1"/>
  <c r="L91" i="44" s="1"/>
  <c r="L92" i="44" s="1"/>
  <c r="L93" i="44" s="1"/>
  <c r="L94" i="44" s="1"/>
  <c r="L95" i="44" s="1"/>
  <c r="L161" i="44"/>
  <c r="L162" i="44" s="1"/>
  <c r="L163" i="44" s="1"/>
  <c r="L164" i="44" s="1"/>
  <c r="K394" i="44"/>
  <c r="K398" i="44"/>
  <c r="J473" i="44"/>
  <c r="M473" i="44" s="1"/>
  <c r="J697" i="44"/>
  <c r="M697" i="44" s="1"/>
  <c r="H2095" i="3"/>
  <c r="J2094" i="3"/>
  <c r="M2094" i="3" s="1"/>
  <c r="M1863" i="3"/>
  <c r="L2196" i="3"/>
  <c r="L2197" i="3" s="1"/>
  <c r="L2198" i="3" s="1"/>
  <c r="L2199" i="3" s="1"/>
  <c r="L622" i="3"/>
  <c r="L623" i="3" s="1"/>
  <c r="L624" i="3" s="1"/>
  <c r="L625" i="3" s="1"/>
  <c r="L626" i="3" s="1"/>
  <c r="L627" i="3" s="1"/>
  <c r="L628" i="3" s="1"/>
  <c r="L629" i="3" s="1"/>
  <c r="L630" i="3" s="1"/>
  <c r="L631" i="3" s="1"/>
  <c r="L632" i="3" s="1"/>
  <c r="L633" i="3" s="1"/>
  <c r="L2162" i="3"/>
  <c r="L2163" i="3" s="1"/>
  <c r="L2164" i="3" s="1"/>
  <c r="L2165" i="3" s="1"/>
  <c r="H2454" i="3"/>
  <c r="L305" i="3"/>
  <c r="L306" i="3" s="1"/>
  <c r="L307" i="3" s="1"/>
  <c r="L308" i="3" s="1"/>
  <c r="L309" i="3" s="1"/>
  <c r="L310" i="3" s="1"/>
  <c r="L311" i="3" s="1"/>
  <c r="L312" i="3" s="1"/>
  <c r="L313" i="3" s="1"/>
  <c r="L314" i="3" s="1"/>
  <c r="L315" i="3" s="1"/>
  <c r="L316" i="3" s="1"/>
  <c r="J426" i="3"/>
  <c r="M426" i="3" s="1"/>
  <c r="L2417" i="3"/>
  <c r="L348" i="3"/>
  <c r="L349" i="3" s="1"/>
  <c r="L350" i="3" s="1"/>
  <c r="L351" i="3" s="1"/>
  <c r="L352" i="3" s="1"/>
  <c r="L353" i="3" s="1"/>
  <c r="L354" i="3" s="1"/>
  <c r="L355" i="3" s="1"/>
  <c r="L356" i="3" s="1"/>
  <c r="L357" i="3" s="1"/>
  <c r="L358" i="3" s="1"/>
  <c r="L359" i="3" s="1"/>
  <c r="M2162" i="3"/>
  <c r="M1177" i="3"/>
  <c r="L263" i="3"/>
  <c r="L264" i="3" s="1"/>
  <c r="L265" i="3" s="1"/>
  <c r="L266" i="3" s="1"/>
  <c r="L267" i="3" s="1"/>
  <c r="L268" i="3" s="1"/>
  <c r="L269" i="3" s="1"/>
  <c r="L270" i="3" s="1"/>
  <c r="L271" i="3" s="1"/>
  <c r="L272" i="3" s="1"/>
  <c r="L273" i="3" s="1"/>
  <c r="L274" i="3" s="1"/>
  <c r="L463" i="3"/>
  <c r="L464" i="3" s="1"/>
  <c r="L465" i="3" s="1"/>
  <c r="L466" i="3" s="1"/>
  <c r="L854" i="3"/>
  <c r="L855" i="3" s="1"/>
  <c r="L856" i="3" s="1"/>
  <c r="L857" i="3" s="1"/>
  <c r="L858" i="3" s="1"/>
  <c r="L859" i="3" s="1"/>
  <c r="L860" i="3" s="1"/>
  <c r="L533" i="3"/>
  <c r="L534" i="3" s="1"/>
  <c r="L535" i="3" s="1"/>
  <c r="L536" i="3" s="1"/>
  <c r="L537" i="3" s="1"/>
  <c r="L892" i="3"/>
  <c r="J893" i="3" s="1"/>
  <c r="M893" i="3" s="1"/>
  <c r="L1713" i="3"/>
  <c r="L1714" i="3" s="1"/>
  <c r="L1715" i="3" s="1"/>
  <c r="L1716" i="3" s="1"/>
  <c r="J263" i="3"/>
  <c r="M263" i="3" s="1"/>
  <c r="L426" i="3"/>
  <c r="L427" i="3" s="1"/>
  <c r="L428" i="3" s="1"/>
  <c r="L429" i="3" s="1"/>
  <c r="L430" i="3" s="1"/>
  <c r="L431" i="3" s="1"/>
  <c r="M1971" i="3"/>
  <c r="H1972" i="3"/>
  <c r="H1973" i="3" s="1"/>
  <c r="H1974" i="3" s="1"/>
  <c r="H1975" i="3" s="1"/>
  <c r="M1249" i="3"/>
  <c r="M2013" i="3"/>
  <c r="L893" i="3"/>
  <c r="L894" i="3" s="1"/>
  <c r="L895" i="3" s="1"/>
  <c r="L896" i="3" s="1"/>
  <c r="L897" i="3" s="1"/>
  <c r="L898" i="3" s="1"/>
  <c r="L899" i="3" s="1"/>
  <c r="L194" i="3"/>
  <c r="L195" i="3" s="1"/>
  <c r="L196" i="3" s="1"/>
  <c r="L197" i="3" s="1"/>
  <c r="L198" i="3" s="1"/>
  <c r="L199" i="3" s="1"/>
  <c r="L1177" i="3"/>
  <c r="L1178" i="3" s="1"/>
  <c r="L1179" i="3" s="1"/>
  <c r="L1180" i="3" s="1"/>
  <c r="L53" i="3"/>
  <c r="L54" i="3" s="1"/>
  <c r="L55" i="3" s="1"/>
  <c r="L56" i="3" s="1"/>
  <c r="L57" i="3" s="1"/>
  <c r="L58" i="3" s="1"/>
  <c r="L89" i="3"/>
  <c r="L90" i="3" s="1"/>
  <c r="L91" i="3" s="1"/>
  <c r="L92" i="3" s="1"/>
  <c r="M193" i="3"/>
  <c r="L391" i="3"/>
  <c r="L392" i="3" s="1"/>
  <c r="L393" i="3" s="1"/>
  <c r="L394" i="3" s="1"/>
  <c r="L811" i="3"/>
  <c r="L812" i="3" s="1"/>
  <c r="L813" i="3" s="1"/>
  <c r="L814" i="3" s="1"/>
  <c r="L815" i="3" s="1"/>
  <c r="L816" i="3" s="1"/>
  <c r="L817" i="3" s="1"/>
  <c r="L818" i="3" s="1"/>
  <c r="L819" i="3" s="1"/>
  <c r="L820" i="3" s="1"/>
  <c r="L821" i="3" s="1"/>
  <c r="L822" i="3" s="1"/>
  <c r="M1176" i="3"/>
  <c r="H1864" i="3"/>
  <c r="L2302" i="3"/>
  <c r="L2303" i="3" s="1"/>
  <c r="L2304" i="3" s="1"/>
  <c r="L2305" i="3" s="1"/>
  <c r="L2306" i="3" s="1"/>
  <c r="L2307" i="3" s="1"/>
  <c r="H2420" i="3"/>
  <c r="L1971" i="3"/>
  <c r="L1972" i="3" s="1"/>
  <c r="L2374" i="3"/>
  <c r="L2375" i="3" s="1"/>
  <c r="L2376" i="3" s="1"/>
  <c r="L2377" i="3" s="1"/>
  <c r="L2378" i="3" s="1"/>
  <c r="L2379" i="3" s="1"/>
  <c r="L2380" i="3" s="1"/>
  <c r="L2381" i="3" s="1"/>
  <c r="L2382" i="3" s="1"/>
  <c r="L2383" i="3" s="1"/>
  <c r="L2384" i="3" s="1"/>
  <c r="L2385" i="3" s="1"/>
  <c r="L1610" i="3"/>
  <c r="L1611" i="3" s="1"/>
  <c r="L1612" i="3" s="1"/>
  <c r="L1613" i="3" s="1"/>
  <c r="L1614" i="3" s="1"/>
  <c r="L1615" i="3" s="1"/>
  <c r="L1616" i="3" s="1"/>
  <c r="L1617" i="3" s="1"/>
  <c r="L1618" i="3" s="1"/>
  <c r="L1619" i="3" s="1"/>
  <c r="L1620" i="3" s="1"/>
  <c r="L1621" i="3" s="1"/>
  <c r="L1622" i="3" s="1"/>
  <c r="L1623" i="3" s="1"/>
  <c r="L1624" i="3" s="1"/>
  <c r="L1625" i="3" s="1"/>
  <c r="L1626" i="3" s="1"/>
  <c r="L1627" i="3" s="1"/>
  <c r="L1628" i="3" s="1"/>
  <c r="L1629" i="3" s="1"/>
  <c r="L1630" i="3" s="1"/>
  <c r="L1631" i="3" s="1"/>
  <c r="L1632" i="3" s="1"/>
  <c r="L1633" i="3" s="1"/>
  <c r="L1634" i="3" s="1"/>
  <c r="L1635" i="3" s="1"/>
  <c r="L1636" i="3" s="1"/>
  <c r="L1637" i="3" s="1"/>
  <c r="L1638" i="3" s="1"/>
  <c r="L1639" i="3" s="1"/>
  <c r="L1640" i="3" s="1"/>
  <c r="L1641" i="3" s="1"/>
  <c r="L1642" i="3" s="1"/>
  <c r="L1643" i="3" s="1"/>
  <c r="L1644" i="3" s="1"/>
  <c r="L1645" i="3" s="1"/>
  <c r="J305" i="3"/>
  <c r="M305" i="3" s="1"/>
  <c r="H306" i="3"/>
  <c r="H196" i="3"/>
  <c r="H351" i="3"/>
  <c r="J533" i="3"/>
  <c r="M533" i="3" s="1"/>
  <c r="H534" i="3"/>
  <c r="J854" i="3"/>
  <c r="M854" i="3" s="1"/>
  <c r="H855" i="3"/>
  <c r="J463" i="3"/>
  <c r="M463" i="3" s="1"/>
  <c r="H464" i="3"/>
  <c r="H499" i="3"/>
  <c r="J498" i="3"/>
  <c r="M498" i="3" s="1"/>
  <c r="H813" i="3"/>
  <c r="H264" i="3"/>
  <c r="H427" i="3"/>
  <c r="M891" i="3"/>
  <c r="P815" i="3" s="1"/>
  <c r="L1357" i="3"/>
  <c r="L1358" i="3" s="1"/>
  <c r="L1359" i="3" s="1"/>
  <c r="L1360" i="3" s="1"/>
  <c r="J811" i="3"/>
  <c r="M811" i="3" s="1"/>
  <c r="H53" i="3"/>
  <c r="J194" i="3"/>
  <c r="M194" i="3" s="1"/>
  <c r="H622" i="3"/>
  <c r="H894" i="3"/>
  <c r="O268" i="3"/>
  <c r="J348" i="3"/>
  <c r="M348" i="3" s="1"/>
  <c r="J391" i="3"/>
  <c r="M391" i="3" s="1"/>
  <c r="H392" i="3"/>
  <c r="O459" i="3"/>
  <c r="L498" i="3"/>
  <c r="L499" i="3" s="1"/>
  <c r="L500" i="3" s="1"/>
  <c r="L501" i="3" s="1"/>
  <c r="M532" i="3"/>
  <c r="P494" i="3" s="1"/>
  <c r="L739" i="3"/>
  <c r="L740" i="3" s="1"/>
  <c r="L741" i="3" s="1"/>
  <c r="L742" i="3" s="1"/>
  <c r="M810" i="3"/>
  <c r="P734" i="3" s="1"/>
  <c r="J892" i="3"/>
  <c r="M892" i="3" s="1"/>
  <c r="L1134" i="3"/>
  <c r="L1135" i="3" s="1"/>
  <c r="L1136" i="3" s="1"/>
  <c r="L1137" i="3" s="1"/>
  <c r="L1138" i="3" s="1"/>
  <c r="L1139" i="3" s="1"/>
  <c r="L1140" i="3" s="1"/>
  <c r="L1141" i="3" s="1"/>
  <c r="L1142" i="3" s="1"/>
  <c r="L1143" i="3" s="1"/>
  <c r="L1144" i="3" s="1"/>
  <c r="L1145" i="3" s="1"/>
  <c r="M1713" i="3"/>
  <c r="H1714" i="3"/>
  <c r="M425" i="3"/>
  <c r="P387" i="3" s="1"/>
  <c r="H739" i="3"/>
  <c r="H1138" i="3"/>
  <c r="M1315" i="3"/>
  <c r="O1246" i="3"/>
  <c r="O1712" i="3"/>
  <c r="O975" i="3"/>
  <c r="H2024" i="3"/>
  <c r="H2129" i="3"/>
  <c r="M2128" i="3"/>
  <c r="H2163" i="3"/>
  <c r="J2302" i="3"/>
  <c r="M2302" i="3" s="1"/>
  <c r="H2375" i="3"/>
  <c r="M2374" i="3"/>
  <c r="K206" i="44"/>
  <c r="K202" i="44"/>
  <c r="K198" i="44"/>
  <c r="L195" i="44"/>
  <c r="L196" i="44" s="1"/>
  <c r="K205" i="44"/>
  <c r="K201" i="44"/>
  <c r="K197" i="44"/>
  <c r="M194" i="44"/>
  <c r="H394" i="44"/>
  <c r="J393" i="44"/>
  <c r="O430" i="44"/>
  <c r="H551" i="44"/>
  <c r="J550" i="44"/>
  <c r="M550" i="44" s="1"/>
  <c r="L1315" i="3"/>
  <c r="L1316" i="3" s="1"/>
  <c r="L1317" i="3" s="1"/>
  <c r="L1318" i="3" s="1"/>
  <c r="L1319" i="3" s="1"/>
  <c r="L1320" i="3" s="1"/>
  <c r="L1321" i="3" s="1"/>
  <c r="L1322" i="3" s="1"/>
  <c r="L1323" i="3" s="1"/>
  <c r="L1324" i="3" s="1"/>
  <c r="L1325" i="3" s="1"/>
  <c r="L1326" i="3" s="1"/>
  <c r="M1532" i="3"/>
  <c r="J1676" i="3"/>
  <c r="M1676" i="3" s="1"/>
  <c r="M1134" i="3"/>
  <c r="M1136" i="3"/>
  <c r="L1249" i="3"/>
  <c r="M1357" i="3"/>
  <c r="M1359" i="3"/>
  <c r="L1574" i="3"/>
  <c r="L1575" i="3" s="1"/>
  <c r="L1576" i="3" s="1"/>
  <c r="L1577" i="3" s="1"/>
  <c r="L1578" i="3" s="1"/>
  <c r="L1579" i="3" s="1"/>
  <c r="H1610" i="3"/>
  <c r="M1935" i="3"/>
  <c r="L2013" i="3"/>
  <c r="M2054" i="3"/>
  <c r="P1903" i="3" s="1"/>
  <c r="L2055" i="3"/>
  <c r="L2056" i="3" s="1"/>
  <c r="L2057" i="3" s="1"/>
  <c r="L2058" i="3" s="1"/>
  <c r="L2059" i="3" s="1"/>
  <c r="L2060" i="3" s="1"/>
  <c r="L2061" i="3" s="1"/>
  <c r="L2062" i="3" s="1"/>
  <c r="M2196" i="3"/>
  <c r="H2197" i="3"/>
  <c r="H17" i="10"/>
  <c r="J16" i="10"/>
  <c r="M16" i="10" s="1"/>
  <c r="L1532" i="3"/>
  <c r="L1676" i="3"/>
  <c r="H2056" i="3"/>
  <c r="M2055" i="3"/>
  <c r="L2490" i="3"/>
  <c r="L2491" i="3" s="1"/>
  <c r="L2492" i="3" s="1"/>
  <c r="L2493" i="3" s="1"/>
  <c r="L2494" i="3" s="1"/>
  <c r="L2495" i="3" s="1"/>
  <c r="L2496" i="3" s="1"/>
  <c r="L2497" i="3" s="1"/>
  <c r="L2498" i="3" s="1"/>
  <c r="L2499" i="3" s="1"/>
  <c r="L2500" i="3" s="1"/>
  <c r="L2501" i="3" s="1"/>
  <c r="M2489" i="3"/>
  <c r="P2345" i="3" s="1"/>
  <c r="P2402" i="3" s="1"/>
  <c r="Q2402" i="3" s="1"/>
  <c r="M2490" i="3"/>
  <c r="L1935" i="3"/>
  <c r="L1936" i="3" s="1"/>
  <c r="L1937" i="3" s="1"/>
  <c r="L1938" i="3" s="1"/>
  <c r="L1939" i="3" s="1"/>
  <c r="L1940" i="3" s="1"/>
  <c r="M1972" i="3"/>
  <c r="L2128" i="3"/>
  <c r="L2129" i="3" s="1"/>
  <c r="L2130" i="3" s="1"/>
  <c r="L2131" i="3" s="1"/>
  <c r="M2127" i="3"/>
  <c r="P1974" i="3" s="1"/>
  <c r="O2044" i="3"/>
  <c r="H2231" i="3"/>
  <c r="M2230" i="3"/>
  <c r="H162" i="44"/>
  <c r="J161" i="44"/>
  <c r="M161" i="44" s="1"/>
  <c r="O255" i="44"/>
  <c r="H1803" i="44"/>
  <c r="J1802" i="44"/>
  <c r="M1802" i="44" s="1"/>
  <c r="H89" i="44"/>
  <c r="H352" i="44"/>
  <c r="J351" i="44"/>
  <c r="H437" i="44"/>
  <c r="L473" i="44"/>
  <c r="L474" i="44" s="1"/>
  <c r="L475" i="44" s="1"/>
  <c r="L476" i="44" s="1"/>
  <c r="L477" i="44" s="1"/>
  <c r="L478" i="44" s="1"/>
  <c r="H588" i="44"/>
  <c r="L697" i="44"/>
  <c r="L698" i="44" s="1"/>
  <c r="L699" i="44" s="1"/>
  <c r="L700" i="44" s="1"/>
  <c r="O2013" i="3"/>
  <c r="O2078" i="3"/>
  <c r="L2230" i="3"/>
  <c r="L2231" i="3" s="1"/>
  <c r="L2232" i="3" s="1"/>
  <c r="L2233" i="3" s="1"/>
  <c r="M2301" i="3"/>
  <c r="P2151" i="3" s="1"/>
  <c r="M2373" i="3"/>
  <c r="P2221" i="3" s="1"/>
  <c r="M2491" i="3"/>
  <c r="H54" i="44"/>
  <c r="K435" i="44"/>
  <c r="M434" i="44"/>
  <c r="H511" i="44"/>
  <c r="J510" i="44"/>
  <c r="M510" i="44" s="1"/>
  <c r="K586" i="44"/>
  <c r="M585" i="44"/>
  <c r="H474" i="44"/>
  <c r="H698" i="44"/>
  <c r="H16" i="45"/>
  <c r="K352" i="44"/>
  <c r="K354" i="44"/>
  <c r="K356" i="44"/>
  <c r="K358" i="44"/>
  <c r="K360" i="44"/>
  <c r="K362" i="44"/>
  <c r="M15" i="45"/>
  <c r="M350" i="44"/>
  <c r="K351" i="44"/>
  <c r="L351" i="44" s="1"/>
  <c r="K353" i="44"/>
  <c r="K355" i="44"/>
  <c r="K357" i="44"/>
  <c r="K359" i="44"/>
  <c r="J1045" i="3" l="1"/>
  <c r="J1003" i="3"/>
  <c r="J229" i="44"/>
  <c r="J246" i="44" s="1"/>
  <c r="J1047" i="3"/>
  <c r="J657" i="3"/>
  <c r="J117" i="44"/>
  <c r="J135" i="44" s="1"/>
  <c r="J290" i="44"/>
  <c r="J723" i="44"/>
  <c r="J653" i="44"/>
  <c r="O946" i="44"/>
  <c r="O947" i="44" s="1"/>
  <c r="O948" i="44" s="1"/>
  <c r="O949" i="44" s="1"/>
  <c r="J725" i="44"/>
  <c r="M732" i="44"/>
  <c r="L732" i="44"/>
  <c r="L733" i="44" s="1"/>
  <c r="J761" i="44" a="1"/>
  <c r="J761" i="44" s="1"/>
  <c r="J759" i="44"/>
  <c r="J12" i="44"/>
  <c r="J195" i="44"/>
  <c r="M195" i="44" s="1"/>
  <c r="O116" i="3"/>
  <c r="P15" i="45"/>
  <c r="O15" i="45"/>
  <c r="O15" i="10"/>
  <c r="P15" i="10"/>
  <c r="J231" i="44"/>
  <c r="O1093" i="3"/>
  <c r="O11" i="3"/>
  <c r="L238" i="44"/>
  <c r="J239" i="44" s="1"/>
  <c r="J238" i="44"/>
  <c r="M237" i="44"/>
  <c r="J1128" i="44"/>
  <c r="J1142" i="44" s="1"/>
  <c r="J114" i="3"/>
  <c r="J697" i="3" a="1"/>
  <c r="J697" i="3" s="1"/>
  <c r="J1162" i="44"/>
  <c r="J1164" i="44" a="1"/>
  <c r="J1164" i="44" s="1"/>
  <c r="O985" i="44"/>
  <c r="J922" i="3"/>
  <c r="J1205" i="3"/>
  <c r="J1087" i="3"/>
  <c r="J1275" i="3"/>
  <c r="J1739" i="3"/>
  <c r="J2330" i="3"/>
  <c r="J695" i="3"/>
  <c r="J1816" i="3"/>
  <c r="J2527" i="3"/>
  <c r="J2256" i="3"/>
  <c r="J1383" i="3"/>
  <c r="J1399" i="3" s="1"/>
  <c r="J147" i="3"/>
  <c r="J81" i="3"/>
  <c r="G91" i="3" s="1"/>
  <c r="J221" i="3"/>
  <c r="J309" i="44"/>
  <c r="G321" i="44" s="1"/>
  <c r="J311" i="44" a="1"/>
  <c r="J311" i="44" s="1"/>
  <c r="J1779" i="3" a="1"/>
  <c r="J1779" i="3" s="1"/>
  <c r="J1777" i="3" a="1"/>
  <c r="J1777" i="3" s="1"/>
  <c r="G1787" i="3" s="1"/>
  <c r="J768" i="3" a="1"/>
  <c r="J768" i="3" s="1"/>
  <c r="J766" i="3"/>
  <c r="G776" i="3" s="1"/>
  <c r="O778" i="3"/>
  <c r="P778" i="3"/>
  <c r="Q778" i="3" s="1"/>
  <c r="P1599" i="3"/>
  <c r="P2399" i="3"/>
  <c r="Q2399" i="3" s="1"/>
  <c r="P2400" i="3"/>
  <c r="Q2400" i="3" s="1"/>
  <c r="P2401" i="3"/>
  <c r="Q2401" i="3" s="1"/>
  <c r="O2181" i="3"/>
  <c r="H1575" i="3"/>
  <c r="H1576" i="3" s="1"/>
  <c r="B1898" i="4"/>
  <c r="B1900" i="4" s="1"/>
  <c r="B1901" i="4" s="1"/>
  <c r="B1902" i="4" s="1"/>
  <c r="J89" i="3"/>
  <c r="M89" i="3" s="1"/>
  <c r="O89" i="3" s="1"/>
  <c r="J1524" i="3" a="1"/>
  <c r="J1524" i="3" s="1"/>
  <c r="J1385" i="3" a="1"/>
  <c r="J1385" i="3" s="1"/>
  <c r="O1274" i="3" s="1"/>
  <c r="J960" i="44" a="1"/>
  <c r="J960" i="44" s="1"/>
  <c r="J223" i="3" a="1"/>
  <c r="J223" i="3" s="1"/>
  <c r="O185" i="3" s="1"/>
  <c r="J1277" i="3" a="1"/>
  <c r="J1277" i="3" s="1"/>
  <c r="O1168" i="3" s="1"/>
  <c r="J2258" i="3" a="1"/>
  <c r="J2258" i="3" s="1"/>
  <c r="O2108" i="3" s="1"/>
  <c r="O1379" i="3"/>
  <c r="J659" i="3" a="1"/>
  <c r="J659" i="3" s="1"/>
  <c r="O570" i="3" s="1"/>
  <c r="J1891" i="3"/>
  <c r="G1901" i="3" s="1"/>
  <c r="J833" i="44"/>
  <c r="O718" i="44" s="1"/>
  <c r="J2007" i="3" a="1"/>
  <c r="J2007" i="3" s="1"/>
  <c r="O1860" i="3" s="1"/>
  <c r="J1927" i="3"/>
  <c r="J1241" i="3"/>
  <c r="J1349" i="3"/>
  <c r="G1360" i="3" s="1"/>
  <c r="K88" i="57" s="1"/>
  <c r="M88" i="57" s="1"/>
  <c r="J83" i="3" a="1"/>
  <c r="J83" i="3" s="1"/>
  <c r="O83" i="3" s="1"/>
  <c r="J1668" i="3"/>
  <c r="G1679" i="3" s="1"/>
  <c r="K104" i="57" s="1"/>
  <c r="M104" i="57" s="1"/>
  <c r="J1420" i="3" a="1"/>
  <c r="J1420" i="3" s="1"/>
  <c r="O1308" i="3" s="1"/>
  <c r="J1418" i="3"/>
  <c r="J1243" i="3" a="1"/>
  <c r="J1243" i="3" s="1"/>
  <c r="O1132" i="3" s="1"/>
  <c r="J1929" i="3" a="1"/>
  <c r="J1929" i="3" s="1"/>
  <c r="O1780" i="3" s="1"/>
  <c r="O895" i="3"/>
  <c r="J1526" i="3" a="1"/>
  <c r="J1526" i="3" s="1"/>
  <c r="O1418" i="3" s="1"/>
  <c r="J1351" i="3" a="1"/>
  <c r="J1351" i="3" s="1"/>
  <c r="O1241" i="3" s="1"/>
  <c r="J1670" i="3" a="1"/>
  <c r="J1670" i="3" s="1"/>
  <c r="O1558" i="3" s="1"/>
  <c r="O1671" i="3"/>
  <c r="J1243" i="44" a="1"/>
  <c r="J1243" i="44" s="1"/>
  <c r="O1103" i="44" s="1"/>
  <c r="J1682" i="44"/>
  <c r="G1692" i="44" s="1"/>
  <c r="J1241" i="44"/>
  <c r="J1490" i="44"/>
  <c r="J1492" i="44" a="1"/>
  <c r="J1492" i="44" s="1"/>
  <c r="O1345" i="44" s="1"/>
  <c r="J1684" i="44" a="1"/>
  <c r="J1684" i="44" s="1"/>
  <c r="O1537" i="44" s="1"/>
  <c r="J1528" i="44" a="1"/>
  <c r="J1528" i="44" s="1"/>
  <c r="O1381" i="44" s="1"/>
  <c r="O1618" i="44"/>
  <c r="J968" i="44"/>
  <c r="M968" i="44" s="1"/>
  <c r="O854" i="44" s="1"/>
  <c r="O901" i="44"/>
  <c r="O1392" i="44"/>
  <c r="J1526" i="44"/>
  <c r="G1536" i="44" s="1"/>
  <c r="L119" i="57" s="1"/>
  <c r="N119" i="57" s="1"/>
  <c r="J1052" i="44" a="1"/>
  <c r="J1052" i="44" s="1"/>
  <c r="O938" i="44" s="1"/>
  <c r="O53" i="44"/>
  <c r="P53" i="44"/>
  <c r="Q53" i="44" s="1"/>
  <c r="J349" i="3"/>
  <c r="M349" i="3" s="1"/>
  <c r="O16" i="10"/>
  <c r="O1786" i="3"/>
  <c r="O1564" i="3"/>
  <c r="O1021" i="3"/>
  <c r="O1022" i="3" s="1"/>
  <c r="O1023" i="3" s="1"/>
  <c r="P1021" i="3"/>
  <c r="O1138" i="3"/>
  <c r="O225" i="3"/>
  <c r="O155" i="3"/>
  <c r="O156" i="3" s="1"/>
  <c r="P155" i="3"/>
  <c r="O1866" i="3"/>
  <c r="O1424" i="3"/>
  <c r="O353" i="3"/>
  <c r="O425" i="3"/>
  <c r="O1599" i="3"/>
  <c r="O1466" i="3"/>
  <c r="O310" i="3"/>
  <c r="O1821" i="3"/>
  <c r="O1822" i="3" s="1"/>
  <c r="O1941" i="3"/>
  <c r="O1349" i="3"/>
  <c r="A829" i="4"/>
  <c r="J1540" i="44"/>
  <c r="M1540" i="44" s="1"/>
  <c r="J1457" i="44"/>
  <c r="M1457" i="44" s="1"/>
  <c r="O1310" i="44" s="1"/>
  <c r="H1458" i="44"/>
  <c r="O1268" i="44"/>
  <c r="J1416" i="44"/>
  <c r="M1416" i="44" s="1"/>
  <c r="H1417" i="44"/>
  <c r="H1374" i="44"/>
  <c r="J1373" i="44"/>
  <c r="M1373" i="44" s="1"/>
  <c r="O1226" i="44" s="1"/>
  <c r="O1184" i="44"/>
  <c r="J1332" i="44"/>
  <c r="M1332" i="44" s="1"/>
  <c r="H1333" i="44"/>
  <c r="O1032" i="44"/>
  <c r="O1033" i="44" s="1"/>
  <c r="O1034" i="44" s="1"/>
  <c r="H1290" i="44"/>
  <c r="J1289" i="44"/>
  <c r="M1289" i="44" s="1"/>
  <c r="O1144" i="44"/>
  <c r="O1072" i="44"/>
  <c r="J1217" i="44"/>
  <c r="M1217" i="44" s="1"/>
  <c r="H1218" i="44"/>
  <c r="J1207" i="44" s="1" a="1"/>
  <c r="J1207" i="44" s="1"/>
  <c r="J1050" i="44"/>
  <c r="G1060" i="44" s="1"/>
  <c r="L83" i="57" s="1"/>
  <c r="N83" i="57" s="1"/>
  <c r="J1463" i="3"/>
  <c r="M1463" i="3" s="1"/>
  <c r="H1464" i="3"/>
  <c r="J831" i="44"/>
  <c r="G841" i="44" s="1"/>
  <c r="L73" i="57" s="1"/>
  <c r="N73" i="57" s="1"/>
  <c r="L1098" i="44"/>
  <c r="J1098" i="44"/>
  <c r="M1098" i="44" s="1"/>
  <c r="H1101" i="44"/>
  <c r="H1017" i="44"/>
  <c r="J1016" i="44"/>
  <c r="M1016" i="44" s="1"/>
  <c r="O810" i="44"/>
  <c r="H926" i="44"/>
  <c r="J925" i="44"/>
  <c r="M925" i="44" s="1"/>
  <c r="O1655" i="44"/>
  <c r="H881" i="44"/>
  <c r="J880" i="44"/>
  <c r="M880" i="44" s="1"/>
  <c r="O766" i="44" s="1"/>
  <c r="O1545" i="44"/>
  <c r="O1546" i="44" s="1"/>
  <c r="O728" i="44"/>
  <c r="O730" i="44" s="1"/>
  <c r="O1465" i="44"/>
  <c r="J806" i="44"/>
  <c r="M806" i="44" s="1"/>
  <c r="O691" i="44" s="1"/>
  <c r="H807" i="44"/>
  <c r="O471" i="44"/>
  <c r="O547" i="44"/>
  <c r="L1574" i="44"/>
  <c r="J1574" i="44"/>
  <c r="M1574" i="44" s="1"/>
  <c r="H626" i="44"/>
  <c r="J625" i="44"/>
  <c r="M625" i="44" s="1"/>
  <c r="O1432" i="44"/>
  <c r="O1713" i="3"/>
  <c r="O2014" i="3"/>
  <c r="J1610" i="44"/>
  <c r="M1610" i="44" s="1"/>
  <c r="H1611" i="44"/>
  <c r="M586" i="44"/>
  <c r="H1577" i="44"/>
  <c r="M435" i="44"/>
  <c r="O161" i="44"/>
  <c r="J1655" i="44"/>
  <c r="M1655" i="44" s="1"/>
  <c r="O1513" i="44" s="1"/>
  <c r="H1656" i="44"/>
  <c r="H1727" i="44"/>
  <c r="J1726" i="44"/>
  <c r="M1726" i="44" s="1"/>
  <c r="O1582" i="44" s="1"/>
  <c r="L394" i="44"/>
  <c r="L395" i="44" s="1"/>
  <c r="L396" i="44" s="1"/>
  <c r="L397" i="44" s="1"/>
  <c r="L398" i="44" s="1"/>
  <c r="L399" i="44" s="1"/>
  <c r="L400" i="44" s="1"/>
  <c r="L401" i="44" s="1"/>
  <c r="L402" i="44" s="1"/>
  <c r="L403" i="44" s="1"/>
  <c r="L404" i="44" s="1"/>
  <c r="O431" i="44"/>
  <c r="J196" i="44"/>
  <c r="M196" i="44" s="1"/>
  <c r="M393" i="44"/>
  <c r="O314" i="44" s="1"/>
  <c r="J1766" i="44"/>
  <c r="M1766" i="44" s="1"/>
  <c r="H1767" i="44"/>
  <c r="L586" i="44"/>
  <c r="L587" i="44" s="1"/>
  <c r="L588" i="44" s="1"/>
  <c r="L589" i="44" s="1"/>
  <c r="L590" i="44" s="1"/>
  <c r="L591" i="44" s="1"/>
  <c r="L352" i="44"/>
  <c r="L353" i="44" s="1"/>
  <c r="L354" i="44" s="1"/>
  <c r="L355" i="44" s="1"/>
  <c r="L356" i="44" s="1"/>
  <c r="L357" i="44" s="1"/>
  <c r="L358" i="44" s="1"/>
  <c r="L359" i="44" s="1"/>
  <c r="L360" i="44" s="1"/>
  <c r="L361" i="44" s="1"/>
  <c r="L362" i="44" s="1"/>
  <c r="J2095" i="3"/>
  <c r="M2095" i="3" s="1"/>
  <c r="H2096" i="3"/>
  <c r="J812" i="3"/>
  <c r="M812" i="3" s="1"/>
  <c r="J195" i="3"/>
  <c r="M195" i="3" s="1"/>
  <c r="M1135" i="3"/>
  <c r="L1973" i="3"/>
  <c r="M1973" i="3"/>
  <c r="M1358" i="3"/>
  <c r="H1179" i="3"/>
  <c r="H1180" i="3" s="1"/>
  <c r="M1360" i="3"/>
  <c r="L2418" i="3"/>
  <c r="H2455" i="3"/>
  <c r="O460" i="3"/>
  <c r="H2421" i="3"/>
  <c r="O2079" i="3"/>
  <c r="J90" i="3"/>
  <c r="M90" i="3" s="1"/>
  <c r="J350" i="3"/>
  <c r="M350" i="3" s="1"/>
  <c r="M1864" i="3"/>
  <c r="H1865" i="3"/>
  <c r="O1247" i="3"/>
  <c r="O976" i="3"/>
  <c r="M1137" i="3"/>
  <c r="L1533" i="3"/>
  <c r="M1533" i="3"/>
  <c r="J17" i="10"/>
  <c r="M17" i="10" s="1"/>
  <c r="H18" i="10"/>
  <c r="O1903" i="3"/>
  <c r="O1904" i="3" s="1"/>
  <c r="M1939" i="3"/>
  <c r="L1250" i="3"/>
  <c r="M1250" i="3"/>
  <c r="M2375" i="3"/>
  <c r="H2376" i="3"/>
  <c r="O1206" i="3"/>
  <c r="H1139" i="3"/>
  <c r="M1138" i="3"/>
  <c r="J499" i="3"/>
  <c r="M499" i="3" s="1"/>
  <c r="H500" i="3"/>
  <c r="J306" i="3"/>
  <c r="M306" i="3" s="1"/>
  <c r="H307" i="3"/>
  <c r="O581" i="44"/>
  <c r="O357" i="44"/>
  <c r="H2493" i="3"/>
  <c r="M2492" i="3"/>
  <c r="H589" i="44"/>
  <c r="M351" i="44"/>
  <c r="L1677" i="3"/>
  <c r="J1677" i="3"/>
  <c r="M1677" i="3" s="1"/>
  <c r="H2198" i="3"/>
  <c r="M2197" i="3"/>
  <c r="M2014" i="3"/>
  <c r="L2014" i="3"/>
  <c r="M1938" i="3"/>
  <c r="J551" i="44"/>
  <c r="M551" i="44" s="1"/>
  <c r="H552" i="44"/>
  <c r="J394" i="44"/>
  <c r="M394" i="44" s="1"/>
  <c r="H395" i="44"/>
  <c r="M1179" i="3"/>
  <c r="O387" i="3"/>
  <c r="O388" i="3" s="1"/>
  <c r="M1714" i="3"/>
  <c r="H1715" i="3"/>
  <c r="H895" i="3"/>
  <c r="J894" i="3"/>
  <c r="M894" i="3" s="1"/>
  <c r="J53" i="3"/>
  <c r="M53" i="3" s="1"/>
  <c r="H54" i="3"/>
  <c r="O815" i="3"/>
  <c r="O816" i="3" s="1"/>
  <c r="O817" i="3" s="1"/>
  <c r="H352" i="3"/>
  <c r="J351" i="3"/>
  <c r="M351" i="3" s="1"/>
  <c r="O269" i="3"/>
  <c r="O271" i="44"/>
  <c r="H699" i="44"/>
  <c r="J698" i="44"/>
  <c r="M698" i="44" s="1"/>
  <c r="O506" i="44"/>
  <c r="H512" i="44"/>
  <c r="J511" i="44"/>
  <c r="M511" i="44" s="1"/>
  <c r="H90" i="44"/>
  <c r="J89" i="44"/>
  <c r="M89" i="44" s="1"/>
  <c r="J162" i="44"/>
  <c r="M162" i="44" s="1"/>
  <c r="H163" i="44"/>
  <c r="O1974" i="3"/>
  <c r="O1975" i="3" s="1"/>
  <c r="M2056" i="3"/>
  <c r="H2057" i="3"/>
  <c r="O2045" i="3"/>
  <c r="M1937" i="3"/>
  <c r="J2303" i="3"/>
  <c r="M2303" i="3" s="1"/>
  <c r="H2304" i="3"/>
  <c r="M2129" i="3"/>
  <c r="H2130" i="3"/>
  <c r="H740" i="3"/>
  <c r="J739" i="3"/>
  <c r="M739" i="3" s="1"/>
  <c r="O661" i="3" s="1"/>
  <c r="H393" i="3"/>
  <c r="J622" i="3"/>
  <c r="M622" i="3" s="1"/>
  <c r="H623" i="3"/>
  <c r="H265" i="3"/>
  <c r="J264" i="3"/>
  <c r="M264" i="3" s="1"/>
  <c r="H814" i="3"/>
  <c r="J813" i="3"/>
  <c r="M813" i="3" s="1"/>
  <c r="H465" i="3"/>
  <c r="J464" i="3"/>
  <c r="M464" i="3" s="1"/>
  <c r="H856" i="3"/>
  <c r="J855" i="3"/>
  <c r="M855" i="3" s="1"/>
  <c r="H438" i="44"/>
  <c r="H17" i="45"/>
  <c r="J16" i="45"/>
  <c r="M16" i="45" s="1"/>
  <c r="H475" i="44"/>
  <c r="J474" i="44"/>
  <c r="M474" i="44" s="1"/>
  <c r="H198" i="44"/>
  <c r="J197" i="44"/>
  <c r="M197" i="44" s="1"/>
  <c r="H55" i="44"/>
  <c r="J54" i="44"/>
  <c r="M54" i="44" s="1"/>
  <c r="O2221" i="3"/>
  <c r="O2222" i="3" s="1"/>
  <c r="H353" i="44"/>
  <c r="J352" i="44"/>
  <c r="M352" i="44" s="1"/>
  <c r="O614" i="44"/>
  <c r="O615" i="44" s="1"/>
  <c r="O126" i="44"/>
  <c r="O127" i="44" s="1"/>
  <c r="O394" i="44"/>
  <c r="L435" i="44"/>
  <c r="O2151" i="3"/>
  <c r="J1803" i="44"/>
  <c r="M1803" i="44" s="1"/>
  <c r="H1804" i="44"/>
  <c r="H2232" i="3"/>
  <c r="M2231" i="3"/>
  <c r="O2345" i="3"/>
  <c r="O2346" i="3" s="1"/>
  <c r="O2347" i="3" s="1"/>
  <c r="M1936" i="3"/>
  <c r="M1610" i="3"/>
  <c r="H1611" i="3"/>
  <c r="O194" i="44"/>
  <c r="L197" i="44"/>
  <c r="L198" i="44" s="1"/>
  <c r="L199" i="44" s="1"/>
  <c r="L200" i="44" s="1"/>
  <c r="L201" i="44" s="1"/>
  <c r="L202" i="44" s="1"/>
  <c r="L203" i="44" s="1"/>
  <c r="L204" i="44" s="1"/>
  <c r="L205" i="44" s="1"/>
  <c r="L206" i="44" s="1"/>
  <c r="H2164" i="3"/>
  <c r="M2163" i="3"/>
  <c r="H1976" i="3"/>
  <c r="M1316" i="3"/>
  <c r="H1317" i="3"/>
  <c r="M1940" i="3"/>
  <c r="O1642" i="3"/>
  <c r="O734" i="3"/>
  <c r="O735" i="3" s="1"/>
  <c r="O494" i="3"/>
  <c r="O495" i="3" s="1"/>
  <c r="J2005" i="3"/>
  <c r="H428" i="3"/>
  <c r="J427" i="3"/>
  <c r="M427" i="3" s="1"/>
  <c r="J534" i="3"/>
  <c r="M534" i="3" s="1"/>
  <c r="H535" i="3"/>
  <c r="H197" i="3"/>
  <c r="J196" i="3"/>
  <c r="M196" i="3" s="1"/>
  <c r="F1008" i="3" l="1"/>
  <c r="F1009" i="3"/>
  <c r="F1050" i="3"/>
  <c r="G1056" i="3"/>
  <c r="K60" i="57" s="1"/>
  <c r="F728" i="44"/>
  <c r="G734" i="44"/>
  <c r="L68" i="57" s="1"/>
  <c r="G276" i="44"/>
  <c r="G769" i="44"/>
  <c r="F764" i="44"/>
  <c r="O986" i="44"/>
  <c r="O195" i="44"/>
  <c r="O196" i="44" s="1"/>
  <c r="O197" i="44" s="1"/>
  <c r="F2335" i="3"/>
  <c r="O16" i="45"/>
  <c r="F122" i="44"/>
  <c r="G1138" i="44"/>
  <c r="L85" i="57" s="1"/>
  <c r="N85" i="57" s="1"/>
  <c r="F1133" i="44"/>
  <c r="F271" i="44"/>
  <c r="F234" i="44"/>
  <c r="G241" i="44"/>
  <c r="L42" i="57"/>
  <c r="N42" i="57" s="1"/>
  <c r="L239" i="44"/>
  <c r="M238" i="44"/>
  <c r="G706" i="3"/>
  <c r="G1215" i="3"/>
  <c r="G2267" i="3"/>
  <c r="K151" i="57" s="1"/>
  <c r="G576" i="3"/>
  <c r="K31" i="57" s="1"/>
  <c r="M31" i="57" s="1"/>
  <c r="G2538" i="3"/>
  <c r="K161" i="57" s="1"/>
  <c r="M161" i="57" s="1"/>
  <c r="G1285" i="3"/>
  <c r="G971" i="3"/>
  <c r="G1014" i="3"/>
  <c r="K58" i="57" s="1"/>
  <c r="M58" i="57" s="1"/>
  <c r="G1827" i="3"/>
  <c r="K125" i="57" s="1"/>
  <c r="M125" i="57" s="1"/>
  <c r="G1098" i="3"/>
  <c r="G231" i="3"/>
  <c r="F662" i="3"/>
  <c r="G667" i="3"/>
  <c r="G1499" i="3"/>
  <c r="K95" i="57" s="1"/>
  <c r="M95" i="57" s="1"/>
  <c r="G19" i="3"/>
  <c r="K6" i="57" s="1"/>
  <c r="M6" i="57" s="1"/>
  <c r="G2342" i="3"/>
  <c r="G933" i="3"/>
  <c r="G124" i="3"/>
  <c r="G1393" i="3"/>
  <c r="G1750" i="3"/>
  <c r="K120" i="57" s="1"/>
  <c r="M120" i="57" s="1"/>
  <c r="P73" i="57"/>
  <c r="P83" i="57"/>
  <c r="O104" i="57"/>
  <c r="O88" i="57"/>
  <c r="P119" i="57"/>
  <c r="G158" i="3"/>
  <c r="F1494" i="3"/>
  <c r="F1167" i="44"/>
  <c r="G1172" i="44"/>
  <c r="F1092" i="3"/>
  <c r="F1493" i="3"/>
  <c r="F226" i="3"/>
  <c r="L44" i="57"/>
  <c r="N44" i="57" s="1"/>
  <c r="L45" i="57"/>
  <c r="N45" i="57" s="1"/>
  <c r="L43" i="57"/>
  <c r="N43" i="57" s="1"/>
  <c r="F567" i="3"/>
  <c r="F568" i="3"/>
  <c r="G51" i="55" s="1"/>
  <c r="F927" i="3"/>
  <c r="O1619" i="44"/>
  <c r="J1506" i="44" a="1"/>
  <c r="J1506" i="44" s="1"/>
  <c r="G1500" i="44"/>
  <c r="L111" i="57" s="1"/>
  <c r="N111" i="57" s="1"/>
  <c r="G127" i="44"/>
  <c r="L13" i="57" s="1"/>
  <c r="N13" i="57" s="1"/>
  <c r="F1246" i="44"/>
  <c r="G1251" i="44"/>
  <c r="L99" i="57" s="1"/>
  <c r="N99" i="57" s="1"/>
  <c r="J1575" i="3"/>
  <c r="M1575" i="3" s="1"/>
  <c r="O1467" i="3" s="1"/>
  <c r="F1210" i="3"/>
  <c r="F2010" i="3"/>
  <c r="G2015" i="3"/>
  <c r="F1932" i="3"/>
  <c r="G1937" i="3"/>
  <c r="F14" i="3"/>
  <c r="F1423" i="3"/>
  <c r="G1428" i="3"/>
  <c r="F1529" i="3"/>
  <c r="G1534" i="3"/>
  <c r="K3" i="57"/>
  <c r="M3" i="57" s="1"/>
  <c r="F1246" i="3"/>
  <c r="G1251" i="3"/>
  <c r="F1821" i="3"/>
  <c r="F152" i="3"/>
  <c r="F316" i="44"/>
  <c r="F314" i="44"/>
  <c r="F315" i="44"/>
  <c r="F1745" i="3"/>
  <c r="F1744" i="3"/>
  <c r="F1782" i="3"/>
  <c r="G15" i="55"/>
  <c r="F2533" i="3"/>
  <c r="F965" i="3"/>
  <c r="F119" i="3"/>
  <c r="F2261" i="3"/>
  <c r="F2262" i="3"/>
  <c r="F1280" i="3"/>
  <c r="F1674" i="3"/>
  <c r="F1673" i="3"/>
  <c r="F86" i="3"/>
  <c r="G26" i="55"/>
  <c r="F1354" i="3"/>
  <c r="F1355" i="3"/>
  <c r="F2532" i="3"/>
  <c r="F566" i="3"/>
  <c r="F569" i="3"/>
  <c r="F570" i="3"/>
  <c r="G45" i="55" s="1"/>
  <c r="F571" i="3"/>
  <c r="F1093" i="3"/>
  <c r="F771" i="3"/>
  <c r="O779" i="3"/>
  <c r="P779" i="3"/>
  <c r="Q779" i="3" s="1"/>
  <c r="F1822" i="3"/>
  <c r="B1903" i="4"/>
  <c r="B1905" i="4" s="1"/>
  <c r="B1906" i="4" s="1"/>
  <c r="O1248" i="3"/>
  <c r="O1249" i="3" s="1"/>
  <c r="O1250" i="3" s="1"/>
  <c r="F1495" i="44"/>
  <c r="J969" i="44"/>
  <c r="M969" i="44" s="1"/>
  <c r="O855" i="44" s="1"/>
  <c r="O902" i="44"/>
  <c r="O1393" i="44"/>
  <c r="F1055" i="44"/>
  <c r="J1544" i="44" a="1"/>
  <c r="J1544" i="44" s="1"/>
  <c r="F1531" i="44"/>
  <c r="F836" i="44"/>
  <c r="J1566" i="44" a="1"/>
  <c r="J1566" i="44" s="1"/>
  <c r="O1425" i="44" s="1"/>
  <c r="O54" i="44"/>
  <c r="P54" i="44"/>
  <c r="Q54" i="44" s="1"/>
  <c r="M1180" i="3"/>
  <c r="J1171" i="3" a="1"/>
  <c r="J1171" i="3" s="1"/>
  <c r="O1016" i="3" s="1"/>
  <c r="O311" i="3"/>
  <c r="O312" i="3" s="1"/>
  <c r="O313" i="3" s="1"/>
  <c r="J2408" i="3"/>
  <c r="J2410" i="3" a="1"/>
  <c r="J2410" i="3" s="1"/>
  <c r="O2266" i="3" s="1"/>
  <c r="O736" i="3"/>
  <c r="O737" i="3" s="1"/>
  <c r="O17" i="10"/>
  <c r="O533" i="3"/>
  <c r="O53" i="3"/>
  <c r="O90" i="3"/>
  <c r="O1350" i="3"/>
  <c r="O426" i="3"/>
  <c r="O157" i="3"/>
  <c r="O158" i="3" s="1"/>
  <c r="O2080" i="3"/>
  <c r="O226" i="3"/>
  <c r="O389" i="3"/>
  <c r="O1500" i="3"/>
  <c r="O1787" i="3"/>
  <c r="O1788" i="3" s="1"/>
  <c r="O1789" i="3" s="1"/>
  <c r="O1790" i="3" s="1"/>
  <c r="O1791" i="3" s="1"/>
  <c r="P1248" i="3"/>
  <c r="Q1248" i="3" s="1"/>
  <c r="O1714" i="3"/>
  <c r="O1942" i="3"/>
  <c r="A830" i="4"/>
  <c r="J1541" i="44"/>
  <c r="M1541" i="44" s="1"/>
  <c r="J1458" i="44"/>
  <c r="M1458" i="44" s="1"/>
  <c r="O1311" i="44" s="1"/>
  <c r="H1459" i="44"/>
  <c r="H1418" i="44"/>
  <c r="J1417" i="44"/>
  <c r="M1417" i="44" s="1"/>
  <c r="O1269" i="44"/>
  <c r="J1374" i="44"/>
  <c r="M1374" i="44" s="1"/>
  <c r="O1227" i="44" s="1"/>
  <c r="H1375" i="44"/>
  <c r="O1185" i="44"/>
  <c r="H1334" i="44"/>
  <c r="J1333" i="44"/>
  <c r="M1333" i="44" s="1"/>
  <c r="O1035" i="44"/>
  <c r="O1145" i="44"/>
  <c r="J1218" i="44"/>
  <c r="M1218" i="44" s="1"/>
  <c r="O1063" i="44"/>
  <c r="J1290" i="44"/>
  <c r="M1290" i="44" s="1"/>
  <c r="H1291" i="44"/>
  <c r="J1205" i="44"/>
  <c r="G1215" i="44" s="1"/>
  <c r="L94" i="57" s="1"/>
  <c r="N94" i="57" s="1"/>
  <c r="O1073" i="44"/>
  <c r="O977" i="3"/>
  <c r="O978" i="3" s="1"/>
  <c r="O979" i="3" s="1"/>
  <c r="O980" i="3" s="1"/>
  <c r="H1465" i="3"/>
  <c r="J1464" i="3"/>
  <c r="M1464" i="3" s="1"/>
  <c r="L1099" i="44"/>
  <c r="J1099" i="44"/>
  <c r="M1099" i="44" s="1"/>
  <c r="O987" i="44" s="1"/>
  <c r="H1102" i="44"/>
  <c r="H1018" i="44"/>
  <c r="J1017" i="44"/>
  <c r="M1017" i="44" s="1"/>
  <c r="O811" i="44"/>
  <c r="H927" i="44"/>
  <c r="J926" i="44"/>
  <c r="M926" i="44" s="1"/>
  <c r="J881" i="44"/>
  <c r="M881" i="44" s="1"/>
  <c r="O767" i="44" s="1"/>
  <c r="H882" i="44"/>
  <c r="O1466" i="44"/>
  <c r="O507" i="44"/>
  <c r="J1564" i="44"/>
  <c r="G1574" i="44" s="1"/>
  <c r="L122" i="57" s="1"/>
  <c r="N122" i="57" s="1"/>
  <c r="J807" i="44"/>
  <c r="M807" i="44" s="1"/>
  <c r="O692" i="44" s="1"/>
  <c r="H808" i="44"/>
  <c r="J797" i="44" s="1" a="1"/>
  <c r="J797" i="44" s="1"/>
  <c r="O1433" i="44"/>
  <c r="O548" i="44"/>
  <c r="L1575" i="44"/>
  <c r="J1575" i="44"/>
  <c r="M1575" i="44" s="1"/>
  <c r="J626" i="44"/>
  <c r="M626" i="44" s="1"/>
  <c r="H627" i="44"/>
  <c r="J588" i="44"/>
  <c r="M588" i="44" s="1"/>
  <c r="O358" i="44"/>
  <c r="O1207" i="3"/>
  <c r="H1612" i="44"/>
  <c r="J1611" i="44"/>
  <c r="M1611" i="44" s="1"/>
  <c r="O162" i="44"/>
  <c r="O432" i="44"/>
  <c r="H1657" i="44"/>
  <c r="J1656" i="44"/>
  <c r="M1656" i="44" s="1"/>
  <c r="O1514" i="44" s="1"/>
  <c r="H1728" i="44"/>
  <c r="J1727" i="44"/>
  <c r="M1727" i="44" s="1"/>
  <c r="O1583" i="44" s="1"/>
  <c r="O582" i="44"/>
  <c r="H1768" i="44"/>
  <c r="J1767" i="44"/>
  <c r="M1767" i="44" s="1"/>
  <c r="O272" i="44"/>
  <c r="O273" i="44" s="1"/>
  <c r="J587" i="44"/>
  <c r="M587" i="44" s="1"/>
  <c r="H2097" i="3"/>
  <c r="J2096" i="3"/>
  <c r="M2096" i="3" s="1"/>
  <c r="O1823" i="3"/>
  <c r="H2456" i="3"/>
  <c r="L1974" i="3"/>
  <c r="M1974" i="3"/>
  <c r="L2419" i="3"/>
  <c r="O1976" i="3"/>
  <c r="O1905" i="3"/>
  <c r="H1866" i="3"/>
  <c r="M1865" i="3"/>
  <c r="M1317" i="3"/>
  <c r="H1318" i="3"/>
  <c r="H199" i="44"/>
  <c r="J198" i="44"/>
  <c r="M198" i="44" s="1"/>
  <c r="J475" i="44"/>
  <c r="M475" i="44" s="1"/>
  <c r="H476" i="44"/>
  <c r="O256" i="44"/>
  <c r="H857" i="3"/>
  <c r="H815" i="3"/>
  <c r="J814" i="3"/>
  <c r="M814" i="3" s="1"/>
  <c r="O818" i="3"/>
  <c r="M1715" i="3"/>
  <c r="H1716" i="3"/>
  <c r="H553" i="44"/>
  <c r="J552" i="44"/>
  <c r="M552" i="44" s="1"/>
  <c r="M2198" i="3"/>
  <c r="H2199" i="3"/>
  <c r="O128" i="44"/>
  <c r="H2494" i="3"/>
  <c r="M2493" i="3"/>
  <c r="J307" i="3"/>
  <c r="M307" i="3" s="1"/>
  <c r="H308" i="3"/>
  <c r="H1140" i="3"/>
  <c r="M1139" i="3"/>
  <c r="O2223" i="3"/>
  <c r="O472" i="44"/>
  <c r="M2015" i="3"/>
  <c r="L2015" i="3"/>
  <c r="O1565" i="3"/>
  <c r="O270" i="3"/>
  <c r="O1139" i="3"/>
  <c r="O1425" i="3"/>
  <c r="J1169" i="3"/>
  <c r="H741" i="3"/>
  <c r="M2130" i="3"/>
  <c r="H2131" i="3"/>
  <c r="H164" i="44"/>
  <c r="J155" i="44" s="1" a="1"/>
  <c r="J155" i="44" s="1"/>
  <c r="J163" i="44"/>
  <c r="M163" i="44" s="1"/>
  <c r="L436" i="44"/>
  <c r="J436" i="44"/>
  <c r="M436" i="44" s="1"/>
  <c r="H513" i="44"/>
  <c r="J512" i="44"/>
  <c r="M512" i="44" s="1"/>
  <c r="H896" i="3"/>
  <c r="J895" i="3"/>
  <c r="M895" i="3" s="1"/>
  <c r="O1600" i="3"/>
  <c r="H1977" i="3"/>
  <c r="O2015" i="3"/>
  <c r="M1611" i="3"/>
  <c r="H1612" i="3"/>
  <c r="O1656" i="44"/>
  <c r="O616" i="44"/>
  <c r="H354" i="44"/>
  <c r="J353" i="44"/>
  <c r="M353" i="44" s="1"/>
  <c r="J55" i="44"/>
  <c r="M55" i="44" s="1"/>
  <c r="H56" i="44"/>
  <c r="J465" i="3"/>
  <c r="M465" i="3" s="1"/>
  <c r="H466" i="3"/>
  <c r="H266" i="3"/>
  <c r="J265" i="3"/>
  <c r="M265" i="3" s="1"/>
  <c r="O1643" i="3"/>
  <c r="H2305" i="3"/>
  <c r="J2304" i="3"/>
  <c r="M2304" i="3" s="1"/>
  <c r="H2058" i="3"/>
  <c r="M2057" i="3"/>
  <c r="O89" i="44"/>
  <c r="J699" i="44"/>
  <c r="M699" i="44" s="1"/>
  <c r="H700" i="44"/>
  <c r="J691" i="44" s="1" a="1"/>
  <c r="J691" i="44" s="1"/>
  <c r="H353" i="3"/>
  <c r="H55" i="3"/>
  <c r="J54" i="3"/>
  <c r="M54" i="3" s="1"/>
  <c r="O1024" i="3"/>
  <c r="H396" i="44"/>
  <c r="J395" i="44"/>
  <c r="M395" i="44" s="1"/>
  <c r="O1867" i="3"/>
  <c r="L1678" i="3"/>
  <c r="J1678" i="3"/>
  <c r="M1678" i="3" s="1"/>
  <c r="P1786" i="3"/>
  <c r="Q1786" i="3" s="1"/>
  <c r="H590" i="44"/>
  <c r="J589" i="44"/>
  <c r="M589" i="44" s="1"/>
  <c r="H501" i="3"/>
  <c r="J492" i="3" s="1" a="1"/>
  <c r="J492" i="3" s="1"/>
  <c r="O454" i="3" s="1"/>
  <c r="J1576" i="3"/>
  <c r="M1576" i="3" s="1"/>
  <c r="H1577" i="3"/>
  <c r="L1251" i="3"/>
  <c r="L1534" i="3"/>
  <c r="M1534" i="3"/>
  <c r="H536" i="3"/>
  <c r="J535" i="3"/>
  <c r="M535" i="3" s="1"/>
  <c r="O496" i="3"/>
  <c r="H429" i="3"/>
  <c r="H1805" i="44"/>
  <c r="J1804" i="44"/>
  <c r="M1804" i="44" s="1"/>
  <c r="H198" i="3"/>
  <c r="H2165" i="3"/>
  <c r="M2164" i="3"/>
  <c r="H2233" i="3"/>
  <c r="M2232" i="3"/>
  <c r="O395" i="44"/>
  <c r="J17" i="45"/>
  <c r="M17" i="45" s="1"/>
  <c r="H18" i="45"/>
  <c r="H439" i="44"/>
  <c r="H624" i="3"/>
  <c r="J623" i="3"/>
  <c r="M623" i="3" s="1"/>
  <c r="H394" i="3"/>
  <c r="J385" i="3" s="1" a="1"/>
  <c r="J385" i="3" s="1"/>
  <c r="O347" i="3" s="1"/>
  <c r="H91" i="44"/>
  <c r="J90" i="44"/>
  <c r="M90" i="44" s="1"/>
  <c r="O315" i="44"/>
  <c r="O2046" i="3"/>
  <c r="O2348" i="3"/>
  <c r="O461" i="3"/>
  <c r="H2377" i="3"/>
  <c r="M2376" i="3"/>
  <c r="H19" i="10"/>
  <c r="J18" i="10"/>
  <c r="M18" i="10" s="1"/>
  <c r="O60" i="57" l="1"/>
  <c r="M60" i="57"/>
  <c r="L69" i="57"/>
  <c r="N69" i="57" s="1"/>
  <c r="O1620" i="44"/>
  <c r="N68" i="57"/>
  <c r="P68" i="57"/>
  <c r="O17" i="45"/>
  <c r="J240" i="44"/>
  <c r="L240" i="44"/>
  <c r="M239" i="44"/>
  <c r="O125" i="57"/>
  <c r="M151" i="57"/>
  <c r="O151" i="57"/>
  <c r="P122" i="57"/>
  <c r="P45" i="57"/>
  <c r="P43" i="57"/>
  <c r="P111" i="57"/>
  <c r="P44" i="57"/>
  <c r="O3" i="57"/>
  <c r="P94" i="57"/>
  <c r="P85" i="57"/>
  <c r="O58" i="57"/>
  <c r="O95" i="57"/>
  <c r="O161" i="57"/>
  <c r="P42" i="57"/>
  <c r="O120" i="57"/>
  <c r="O6" i="57"/>
  <c r="P99" i="57"/>
  <c r="K32" i="57"/>
  <c r="M32" i="57" s="1"/>
  <c r="K33" i="57"/>
  <c r="M33" i="57" s="1"/>
  <c r="O31" i="57"/>
  <c r="K35" i="57"/>
  <c r="M35" i="57" s="1"/>
  <c r="K34" i="57"/>
  <c r="M34" i="57" s="1"/>
  <c r="P13" i="57"/>
  <c r="G46" i="55"/>
  <c r="F2413" i="3"/>
  <c r="G2418" i="3"/>
  <c r="K158" i="57" s="1"/>
  <c r="M158" i="57" s="1"/>
  <c r="K9" i="57"/>
  <c r="M9" i="57" s="1"/>
  <c r="F1174" i="3"/>
  <c r="G1179" i="3"/>
  <c r="K79" i="57" s="1"/>
  <c r="M79" i="57" s="1"/>
  <c r="K59" i="57"/>
  <c r="M59" i="57" s="1"/>
  <c r="K39" i="57"/>
  <c r="M39" i="57" s="1"/>
  <c r="K36" i="57"/>
  <c r="M36" i="57" s="1"/>
  <c r="K47" i="57"/>
  <c r="M47" i="57" s="1"/>
  <c r="K46" i="57"/>
  <c r="M46" i="57" s="1"/>
  <c r="K83" i="57"/>
  <c r="M83" i="57" s="1"/>
  <c r="K107" i="57"/>
  <c r="M107" i="57" s="1"/>
  <c r="K140" i="57"/>
  <c r="M140" i="57" s="1"/>
  <c r="K7" i="57"/>
  <c r="M7" i="57" s="1"/>
  <c r="K156" i="57"/>
  <c r="M156" i="57" s="1"/>
  <c r="K126" i="57"/>
  <c r="M126" i="57" s="1"/>
  <c r="K5" i="57"/>
  <c r="M5" i="57" s="1"/>
  <c r="K97" i="57"/>
  <c r="M97" i="57" s="1"/>
  <c r="K111" i="57"/>
  <c r="M111" i="57" s="1"/>
  <c r="K123" i="57"/>
  <c r="M123" i="57" s="1"/>
  <c r="K64" i="57"/>
  <c r="M64" i="57" s="1"/>
  <c r="K129" i="57"/>
  <c r="M129" i="57" s="1"/>
  <c r="K82" i="57"/>
  <c r="M82" i="57" s="1"/>
  <c r="K162" i="57"/>
  <c r="M162" i="57" s="1"/>
  <c r="K18" i="57"/>
  <c r="M18" i="57" s="1"/>
  <c r="K86" i="57"/>
  <c r="M86" i="57" s="1"/>
  <c r="K91" i="57"/>
  <c r="M91" i="57" s="1"/>
  <c r="K14" i="57"/>
  <c r="M14" i="57" s="1"/>
  <c r="K135" i="57"/>
  <c r="M135" i="57" s="1"/>
  <c r="K23" i="57"/>
  <c r="M23" i="57" s="1"/>
  <c r="K90" i="57"/>
  <c r="M90" i="57" s="1"/>
  <c r="K62" i="57"/>
  <c r="M62" i="57" s="1"/>
  <c r="K99" i="57"/>
  <c r="M99" i="57" s="1"/>
  <c r="K67" i="57"/>
  <c r="M67" i="57" s="1"/>
  <c r="K38" i="57"/>
  <c r="M38" i="57" s="1"/>
  <c r="K152" i="57"/>
  <c r="M152" i="57" s="1"/>
  <c r="K57" i="57"/>
  <c r="M57" i="57" s="1"/>
  <c r="K133" i="57"/>
  <c r="M133" i="57" s="1"/>
  <c r="K8" i="57"/>
  <c r="M8" i="57" s="1"/>
  <c r="K81" i="57"/>
  <c r="M81" i="57" s="1"/>
  <c r="K15" i="57"/>
  <c r="M15" i="57" s="1"/>
  <c r="K65" i="57"/>
  <c r="M65" i="57" s="1"/>
  <c r="K42" i="57"/>
  <c r="M42" i="57" s="1"/>
  <c r="K109" i="57"/>
  <c r="M109" i="57" s="1"/>
  <c r="K80" i="57"/>
  <c r="M80" i="57" s="1"/>
  <c r="K121" i="57"/>
  <c r="M121" i="57" s="1"/>
  <c r="K139" i="57"/>
  <c r="M139" i="57" s="1"/>
  <c r="K73" i="57"/>
  <c r="M73" i="57" s="1"/>
  <c r="K41" i="57"/>
  <c r="M41" i="57" s="1"/>
  <c r="K54" i="57"/>
  <c r="M54" i="57" s="1"/>
  <c r="K92" i="57"/>
  <c r="M92" i="57" s="1"/>
  <c r="K128" i="57"/>
  <c r="M128" i="57" s="1"/>
  <c r="K13" i="57"/>
  <c r="M13" i="57" s="1"/>
  <c r="K96" i="57"/>
  <c r="M96" i="57" s="1"/>
  <c r="K63" i="57"/>
  <c r="M63" i="57" s="1"/>
  <c r="K75" i="57"/>
  <c r="M75" i="57" s="1"/>
  <c r="K70" i="57"/>
  <c r="M70" i="57" s="1"/>
  <c r="K124" i="57"/>
  <c r="M124" i="57" s="1"/>
  <c r="K117" i="57"/>
  <c r="M117" i="57" s="1"/>
  <c r="K89" i="57"/>
  <c r="M89" i="57" s="1"/>
  <c r="K72" i="57"/>
  <c r="M72" i="57" s="1"/>
  <c r="K105" i="57"/>
  <c r="M105" i="57" s="1"/>
  <c r="K106" i="57"/>
  <c r="M106" i="57" s="1"/>
  <c r="K119" i="57"/>
  <c r="M119" i="57" s="1"/>
  <c r="K53" i="57"/>
  <c r="M53" i="57" s="1"/>
  <c r="K122" i="57"/>
  <c r="M122" i="57" s="1"/>
  <c r="K84" i="57"/>
  <c r="M84" i="57" s="1"/>
  <c r="K94" i="57"/>
  <c r="M94" i="57" s="1"/>
  <c r="K141" i="57"/>
  <c r="M141" i="57" s="1"/>
  <c r="K44" i="57"/>
  <c r="M44" i="57" s="1"/>
  <c r="K130" i="57"/>
  <c r="M130" i="57" s="1"/>
  <c r="G28" i="55"/>
  <c r="K118" i="57"/>
  <c r="M118" i="57" s="1"/>
  <c r="K48" i="57"/>
  <c r="M48" i="57" s="1"/>
  <c r="D12" i="55"/>
  <c r="F12" i="55" s="1"/>
  <c r="D26" i="55"/>
  <c r="F26" i="55" s="1"/>
  <c r="D28" i="55"/>
  <c r="G57" i="55"/>
  <c r="G41" i="55"/>
  <c r="G29" i="55"/>
  <c r="G13" i="55"/>
  <c r="D53" i="55"/>
  <c r="F53" i="55" s="1"/>
  <c r="D45" i="55"/>
  <c r="F45" i="55" s="1"/>
  <c r="D36" i="55"/>
  <c r="F36" i="55" s="1"/>
  <c r="D27" i="55"/>
  <c r="F27" i="55" s="1"/>
  <c r="D18" i="55"/>
  <c r="F18" i="55" s="1"/>
  <c r="G56" i="55"/>
  <c r="G39" i="55"/>
  <c r="G25" i="55"/>
  <c r="D60" i="55"/>
  <c r="F60" i="55" s="1"/>
  <c r="D52" i="55"/>
  <c r="F52" i="55" s="1"/>
  <c r="D44" i="55"/>
  <c r="F44" i="55" s="1"/>
  <c r="D35" i="55"/>
  <c r="F35" i="55" s="1"/>
  <c r="D25" i="55"/>
  <c r="F25" i="55" s="1"/>
  <c r="D17" i="55"/>
  <c r="F17" i="55" s="1"/>
  <c r="G54" i="55"/>
  <c r="G38" i="55"/>
  <c r="G23" i="55"/>
  <c r="D59" i="55"/>
  <c r="F59" i="55" s="1"/>
  <c r="D51" i="55"/>
  <c r="F51" i="55" s="1"/>
  <c r="D43" i="55"/>
  <c r="F43" i="55" s="1"/>
  <c r="D34" i="55"/>
  <c r="F34" i="55" s="1"/>
  <c r="D24" i="55"/>
  <c r="F24" i="55" s="1"/>
  <c r="D16" i="55"/>
  <c r="F16" i="55" s="1"/>
  <c r="G52" i="55"/>
  <c r="G36" i="55"/>
  <c r="G22" i="55"/>
  <c r="D58" i="55"/>
  <c r="F58" i="55" s="1"/>
  <c r="D50" i="55"/>
  <c r="F50" i="55" s="1"/>
  <c r="D42" i="55"/>
  <c r="F42" i="55" s="1"/>
  <c r="D33" i="55"/>
  <c r="F33" i="55" s="1"/>
  <c r="D23" i="55"/>
  <c r="F23" i="55" s="1"/>
  <c r="D15" i="55"/>
  <c r="F15" i="55" s="1"/>
  <c r="G50" i="55"/>
  <c r="G34" i="55"/>
  <c r="G21" i="55"/>
  <c r="D57" i="55"/>
  <c r="F57" i="55" s="1"/>
  <c r="D49" i="55"/>
  <c r="F49" i="55" s="1"/>
  <c r="D41" i="55"/>
  <c r="F41" i="55" s="1"/>
  <c r="D32" i="55"/>
  <c r="F32" i="55" s="1"/>
  <c r="D22" i="55"/>
  <c r="F22" i="55" s="1"/>
  <c r="D14" i="55"/>
  <c r="F14" i="55" s="1"/>
  <c r="G49" i="55"/>
  <c r="G33" i="55"/>
  <c r="G17" i="55"/>
  <c r="D56" i="55"/>
  <c r="F56" i="55" s="1"/>
  <c r="D48" i="55"/>
  <c r="F48" i="55" s="1"/>
  <c r="D39" i="55"/>
  <c r="F39" i="55" s="1"/>
  <c r="D31" i="55"/>
  <c r="F31" i="55" s="1"/>
  <c r="D21" i="55"/>
  <c r="F21" i="55" s="1"/>
  <c r="D13" i="55"/>
  <c r="F13" i="55" s="1"/>
  <c r="G47" i="55"/>
  <c r="G32" i="55"/>
  <c r="G16" i="55"/>
  <c r="D55" i="55"/>
  <c r="F55" i="55" s="1"/>
  <c r="D47" i="55"/>
  <c r="F47" i="55" s="1"/>
  <c r="D38" i="55"/>
  <c r="F38" i="55" s="1"/>
  <c r="D30" i="55"/>
  <c r="F30" i="55" s="1"/>
  <c r="D20" i="55"/>
  <c r="F20" i="55" s="1"/>
  <c r="D19" i="55"/>
  <c r="F19" i="55" s="1"/>
  <c r="G58" i="55"/>
  <c r="G42" i="55"/>
  <c r="G30" i="55"/>
  <c r="G14" i="55"/>
  <c r="D54" i="55"/>
  <c r="F54" i="55" s="1"/>
  <c r="D46" i="55"/>
  <c r="F46" i="55" s="1"/>
  <c r="D37" i="55"/>
  <c r="F37" i="55" s="1"/>
  <c r="D29" i="55"/>
  <c r="F29" i="55" s="1"/>
  <c r="M67" i="18"/>
  <c r="M66" i="18"/>
  <c r="M66" i="53"/>
  <c r="M67" i="53"/>
  <c r="M65" i="53"/>
  <c r="P697" i="3"/>
  <c r="O697" i="3"/>
  <c r="O698" i="3" s="1"/>
  <c r="O699" i="3" s="1"/>
  <c r="O700" i="3" s="1"/>
  <c r="B1907" i="4"/>
  <c r="B1909" i="4" s="1"/>
  <c r="B1910" i="4" s="1"/>
  <c r="B1911" i="4" s="1"/>
  <c r="B1912" i="4" s="1"/>
  <c r="B1914" i="4" s="1"/>
  <c r="B1915" i="4" s="1"/>
  <c r="B1916" i="4" s="1"/>
  <c r="B1917" i="4" s="1"/>
  <c r="B1918" i="4" s="1"/>
  <c r="B1919" i="4" s="1"/>
  <c r="B1920" i="4" s="1"/>
  <c r="B1921" i="4" s="1"/>
  <c r="B1923" i="4" s="1"/>
  <c r="B1924" i="4" s="1"/>
  <c r="B1925" i="4" s="1"/>
  <c r="B1926" i="4" s="1"/>
  <c r="O1025" i="3"/>
  <c r="O903" i="44"/>
  <c r="J970" i="44"/>
  <c r="M970" i="44" s="1"/>
  <c r="O856" i="44" s="1"/>
  <c r="J1018" i="44"/>
  <c r="M1018" i="44" s="1"/>
  <c r="F1569" i="44"/>
  <c r="F1210" i="44"/>
  <c r="O249" i="44"/>
  <c r="O121" i="44"/>
  <c r="O55" i="44"/>
  <c r="P55" i="44"/>
  <c r="Q55" i="44" s="1"/>
  <c r="O851" i="3"/>
  <c r="M2233" i="3"/>
  <c r="P2082" i="3" s="1"/>
  <c r="Q2082" i="3" s="1"/>
  <c r="J2224" i="3" a="1"/>
  <c r="J2224" i="3" s="1"/>
  <c r="O2074" i="3" s="1"/>
  <c r="M2131" i="3"/>
  <c r="J2122" i="3" a="1"/>
  <c r="J2122" i="3" s="1"/>
  <c r="O1970" i="3" s="1"/>
  <c r="M2165" i="3"/>
  <c r="J2156" i="3" a="1"/>
  <c r="J2156" i="3" s="1"/>
  <c r="O2008" i="3" s="1"/>
  <c r="J2190" i="3" a="1"/>
  <c r="J2190" i="3" s="1"/>
  <c r="O2042" i="3" s="1"/>
  <c r="M1716" i="3"/>
  <c r="J1707" i="3" a="1"/>
  <c r="J1707" i="3" s="1"/>
  <c r="O1593" i="3" s="1"/>
  <c r="O18" i="10"/>
  <c r="P1250" i="3"/>
  <c r="Q1250" i="3" s="1"/>
  <c r="J466" i="3"/>
  <c r="M466" i="3" s="1"/>
  <c r="J457" i="3" a="1"/>
  <c r="J457" i="3" s="1"/>
  <c r="O419" i="3" s="1"/>
  <c r="O1906" i="3"/>
  <c r="O427" i="3"/>
  <c r="O1501" i="3"/>
  <c r="P1022" i="3"/>
  <c r="Q1022" i="3" s="1"/>
  <c r="P1023" i="3"/>
  <c r="Q1023" i="3" s="1"/>
  <c r="P1024" i="3"/>
  <c r="Q1024" i="3" s="1"/>
  <c r="P1787" i="3"/>
  <c r="Q1787" i="3" s="1"/>
  <c r="P1789" i="3"/>
  <c r="Q1789" i="3" s="1"/>
  <c r="O1943" i="3"/>
  <c r="O1824" i="3"/>
  <c r="O1351" i="3"/>
  <c r="P1025" i="3"/>
  <c r="Q1025" i="3" s="1"/>
  <c r="P1791" i="3"/>
  <c r="Q1791" i="3" s="1"/>
  <c r="P1790" i="3"/>
  <c r="Q1790" i="3" s="1"/>
  <c r="O2081" i="3"/>
  <c r="O1715" i="3"/>
  <c r="P1249" i="3"/>
  <c r="Q1249" i="3" s="1"/>
  <c r="P1247" i="3"/>
  <c r="Q1247" i="3" s="1"/>
  <c r="P1788" i="3"/>
  <c r="Q1788" i="3" s="1"/>
  <c r="A831" i="4"/>
  <c r="O1394" i="44"/>
  <c r="H1460" i="44"/>
  <c r="J1459" i="44"/>
  <c r="M1459" i="44" s="1"/>
  <c r="O1312" i="44" s="1"/>
  <c r="O1186" i="44"/>
  <c r="J1418" i="44"/>
  <c r="M1418" i="44" s="1"/>
  <c r="H1419" i="44"/>
  <c r="O1270" i="44"/>
  <c r="H1376" i="44"/>
  <c r="J1375" i="44"/>
  <c r="M1375" i="44" s="1"/>
  <c r="O1228" i="44" s="1"/>
  <c r="O1074" i="44"/>
  <c r="J1334" i="44"/>
  <c r="M1334" i="44" s="1"/>
  <c r="H1335" i="44"/>
  <c r="O1146" i="44"/>
  <c r="H1292" i="44"/>
  <c r="J1291" i="44"/>
  <c r="M1291" i="44" s="1"/>
  <c r="O508" i="44"/>
  <c r="O509" i="44" s="1"/>
  <c r="O510" i="44" s="1"/>
  <c r="J1465" i="3"/>
  <c r="M1465" i="3" s="1"/>
  <c r="H1466" i="3"/>
  <c r="J455" i="3"/>
  <c r="G466" i="3" s="1"/>
  <c r="O1208" i="3"/>
  <c r="J808" i="44"/>
  <c r="M808" i="44" s="1"/>
  <c r="O693" i="44" s="1"/>
  <c r="J795" i="44"/>
  <c r="G806" i="44" s="1"/>
  <c r="O645" i="44"/>
  <c r="O1036" i="44"/>
  <c r="O812" i="44"/>
  <c r="L1100" i="44"/>
  <c r="J1100" i="44"/>
  <c r="M1100" i="44" s="1"/>
  <c r="O988" i="44" s="1"/>
  <c r="H1103" i="44"/>
  <c r="H1019" i="44"/>
  <c r="H928" i="44"/>
  <c r="J927" i="44"/>
  <c r="M927" i="44" s="1"/>
  <c r="O1467" i="44"/>
  <c r="H883" i="44"/>
  <c r="J882" i="44"/>
  <c r="M882" i="44" s="1"/>
  <c r="O768" i="44" s="1"/>
  <c r="O1434" i="44"/>
  <c r="H628" i="44"/>
  <c r="J627" i="44"/>
  <c r="M627" i="44" s="1"/>
  <c r="L1576" i="44"/>
  <c r="J1576" i="44"/>
  <c r="M1576" i="44" s="1"/>
  <c r="O549" i="44"/>
  <c r="O1977" i="3"/>
  <c r="J383" i="3" a="1"/>
  <c r="J383" i="3" s="1"/>
  <c r="G395" i="3" s="1"/>
  <c r="H1613" i="44"/>
  <c r="J1612" i="44"/>
  <c r="M1612" i="44" s="1"/>
  <c r="O163" i="44"/>
  <c r="O583" i="44"/>
  <c r="O257" i="44"/>
  <c r="J1657" i="44"/>
  <c r="M1657" i="44" s="1"/>
  <c r="O1515" i="44" s="1"/>
  <c r="H1658" i="44"/>
  <c r="J1647" i="44" s="1" a="1"/>
  <c r="J1647" i="44" s="1"/>
  <c r="O1505" i="44" s="1"/>
  <c r="O1657" i="44"/>
  <c r="J1728" i="44"/>
  <c r="M1728" i="44" s="1"/>
  <c r="O1584" i="44" s="1"/>
  <c r="H1729" i="44"/>
  <c r="H1769" i="44"/>
  <c r="J1768" i="44"/>
  <c r="M1768" i="44" s="1"/>
  <c r="O1621" i="44" s="1"/>
  <c r="O316" i="44"/>
  <c r="O90" i="44"/>
  <c r="J2097" i="3"/>
  <c r="M2097" i="3" s="1"/>
  <c r="H2098" i="3"/>
  <c r="O819" i="3"/>
  <c r="L1975" i="3"/>
  <c r="M1975" i="3"/>
  <c r="L2420" i="3"/>
  <c r="H2457" i="3"/>
  <c r="J2154" i="3"/>
  <c r="G2165" i="3" s="1"/>
  <c r="O2016" i="3"/>
  <c r="H1867" i="3"/>
  <c r="M1866" i="3"/>
  <c r="J1705" i="3"/>
  <c r="G1719" i="3" s="1"/>
  <c r="O1566" i="3"/>
  <c r="O2047" i="3"/>
  <c r="O1601" i="3"/>
  <c r="O1426" i="3"/>
  <c r="O534" i="3"/>
  <c r="H537" i="3"/>
  <c r="J527" i="3" s="1" a="1"/>
  <c r="J527" i="3" s="1"/>
  <c r="O489" i="3" s="1"/>
  <c r="J490" i="3"/>
  <c r="G500" i="3" s="1"/>
  <c r="K29" i="57" s="1"/>
  <c r="M29" i="57" s="1"/>
  <c r="H354" i="3"/>
  <c r="M2058" i="3"/>
  <c r="H2059" i="3"/>
  <c r="H57" i="44"/>
  <c r="J56" i="44"/>
  <c r="M56" i="44" s="1"/>
  <c r="O274" i="44"/>
  <c r="O2349" i="3"/>
  <c r="J19" i="10"/>
  <c r="M19" i="10" s="1"/>
  <c r="H20" i="10"/>
  <c r="J624" i="3"/>
  <c r="M624" i="3" s="1"/>
  <c r="H625" i="3"/>
  <c r="O2224" i="3"/>
  <c r="H440" i="44"/>
  <c r="O617" i="44"/>
  <c r="L1252" i="3"/>
  <c r="M1252" i="3"/>
  <c r="O1468" i="3"/>
  <c r="O54" i="3"/>
  <c r="H2306" i="3"/>
  <c r="O227" i="3"/>
  <c r="H897" i="3"/>
  <c r="J896" i="3"/>
  <c r="M896" i="3" s="1"/>
  <c r="H514" i="44"/>
  <c r="J513" i="44"/>
  <c r="M513" i="44" s="1"/>
  <c r="J2222" i="3"/>
  <c r="O129" i="44"/>
  <c r="M2016" i="3"/>
  <c r="L2016" i="3"/>
  <c r="H1141" i="3"/>
  <c r="M1140" i="3"/>
  <c r="H309" i="3"/>
  <c r="O396" i="44"/>
  <c r="M1318" i="3"/>
  <c r="H1319" i="3"/>
  <c r="H591" i="44"/>
  <c r="J590" i="44"/>
  <c r="M590" i="44" s="1"/>
  <c r="O359" i="44"/>
  <c r="J2120" i="3"/>
  <c r="M2377" i="3"/>
  <c r="H2378" i="3"/>
  <c r="J1805" i="44"/>
  <c r="M1805" i="44" s="1"/>
  <c r="H1806" i="44"/>
  <c r="H430" i="3"/>
  <c r="O497" i="3"/>
  <c r="L1535" i="3"/>
  <c r="L1679" i="3"/>
  <c r="J1679" i="3"/>
  <c r="M1679" i="3" s="1"/>
  <c r="J55" i="3"/>
  <c r="M55" i="3" s="1"/>
  <c r="H56" i="3"/>
  <c r="J700" i="44"/>
  <c r="M700" i="44" s="1"/>
  <c r="J689" i="44"/>
  <c r="O575" i="44"/>
  <c r="H267" i="3"/>
  <c r="J266" i="3"/>
  <c r="M266" i="3" s="1"/>
  <c r="M1612" i="3"/>
  <c r="H1613" i="3"/>
  <c r="H1978" i="3"/>
  <c r="P1977" i="3"/>
  <c r="Q1977" i="3" s="1"/>
  <c r="J164" i="44"/>
  <c r="M164" i="44" s="1"/>
  <c r="O155" i="44"/>
  <c r="J153" i="44"/>
  <c r="G164" i="44" s="1"/>
  <c r="L14" i="57" s="1"/>
  <c r="N14" i="57" s="1"/>
  <c r="H742" i="3"/>
  <c r="J733" i="3" s="1" a="1"/>
  <c r="J733" i="3" s="1"/>
  <c r="O656" i="3" s="1"/>
  <c r="O1868" i="3"/>
  <c r="O271" i="3"/>
  <c r="M2199" i="3"/>
  <c r="J2188" i="3"/>
  <c r="O473" i="44"/>
  <c r="O738" i="3"/>
  <c r="H858" i="3"/>
  <c r="O198" i="44"/>
  <c r="H92" i="44"/>
  <c r="J91" i="44"/>
  <c r="M91" i="44" s="1"/>
  <c r="H19" i="45"/>
  <c r="J18" i="45"/>
  <c r="M18" i="45" s="1"/>
  <c r="H199" i="3"/>
  <c r="J188" i="3" s="1" a="1"/>
  <c r="J188" i="3" s="1"/>
  <c r="O1644" i="3"/>
  <c r="M1251" i="3"/>
  <c r="J1577" i="3"/>
  <c r="M1577" i="3" s="1"/>
  <c r="H1578" i="3"/>
  <c r="J396" i="44"/>
  <c r="M396" i="44" s="1"/>
  <c r="H397" i="44"/>
  <c r="O2152" i="3"/>
  <c r="H355" i="44"/>
  <c r="J354" i="44"/>
  <c r="M354" i="44" s="1"/>
  <c r="O433" i="44"/>
  <c r="L437" i="44"/>
  <c r="J437" i="44"/>
  <c r="M437" i="44" s="1"/>
  <c r="O981" i="3"/>
  <c r="H2495" i="3"/>
  <c r="M2494" i="3"/>
  <c r="J553" i="44"/>
  <c r="M553" i="44" s="1"/>
  <c r="H554" i="44"/>
  <c r="H816" i="3"/>
  <c r="J815" i="3"/>
  <c r="M815" i="3" s="1"/>
  <c r="H477" i="44"/>
  <c r="J476" i="44"/>
  <c r="M476" i="44" s="1"/>
  <c r="H200" i="44"/>
  <c r="J199" i="44"/>
  <c r="M199" i="44" s="1"/>
  <c r="P69" i="57" l="1"/>
  <c r="O18" i="45"/>
  <c r="L241" i="44"/>
  <c r="J241" i="44"/>
  <c r="M240" i="44"/>
  <c r="O84" i="57"/>
  <c r="O123" i="57"/>
  <c r="O119" i="57"/>
  <c r="O75" i="57"/>
  <c r="O73" i="57"/>
  <c r="O81" i="57"/>
  <c r="O62" i="57"/>
  <c r="O158" i="57"/>
  <c r="O5" i="57"/>
  <c r="O46" i="57"/>
  <c r="O32" i="57"/>
  <c r="O117" i="57"/>
  <c r="O107" i="57"/>
  <c r="O130" i="57"/>
  <c r="O106" i="57"/>
  <c r="O63" i="57"/>
  <c r="O139" i="57"/>
  <c r="O90" i="57"/>
  <c r="O162" i="57"/>
  <c r="O126" i="57"/>
  <c r="O47" i="57"/>
  <c r="P14" i="57"/>
  <c r="O42" i="57"/>
  <c r="O53" i="57"/>
  <c r="O44" i="57"/>
  <c r="O105" i="57"/>
  <c r="O96" i="57"/>
  <c r="O121" i="57"/>
  <c r="O133" i="57"/>
  <c r="O23" i="57"/>
  <c r="O82" i="57"/>
  <c r="O156" i="57"/>
  <c r="O36" i="57"/>
  <c r="O89" i="57"/>
  <c r="O91" i="57"/>
  <c r="O29" i="57"/>
  <c r="O141" i="57"/>
  <c r="O72" i="57"/>
  <c r="O13" i="57"/>
  <c r="O80" i="57"/>
  <c r="O57" i="57"/>
  <c r="O135" i="57"/>
  <c r="O129" i="57"/>
  <c r="O7" i="57"/>
  <c r="O39" i="57"/>
  <c r="O109" i="57"/>
  <c r="O152" i="57"/>
  <c r="O14" i="57"/>
  <c r="O64" i="57"/>
  <c r="O140" i="57"/>
  <c r="O59" i="57"/>
  <c r="O34" i="57"/>
  <c r="O94" i="57"/>
  <c r="O38" i="57"/>
  <c r="O35" i="57"/>
  <c r="O48" i="57"/>
  <c r="O122" i="57"/>
  <c r="O124" i="57"/>
  <c r="O54" i="57"/>
  <c r="O65" i="57"/>
  <c r="O67" i="57"/>
  <c r="O86" i="57"/>
  <c r="O111" i="57"/>
  <c r="O83" i="57"/>
  <c r="O92" i="57"/>
  <c r="O118" i="57"/>
  <c r="O70" i="57"/>
  <c r="O41" i="57"/>
  <c r="O15" i="57"/>
  <c r="O99" i="57"/>
  <c r="O18" i="57"/>
  <c r="O97" i="57"/>
  <c r="O79" i="57"/>
  <c r="O33" i="57"/>
  <c r="K26" i="57"/>
  <c r="M26" i="57" s="1"/>
  <c r="K25" i="57"/>
  <c r="M25" i="57" s="1"/>
  <c r="K24" i="57"/>
  <c r="M24" i="57" s="1"/>
  <c r="K28" i="57"/>
  <c r="M28" i="57" s="1"/>
  <c r="K27" i="57"/>
  <c r="M27" i="57" s="1"/>
  <c r="K146" i="57"/>
  <c r="M146" i="57" s="1"/>
  <c r="K145" i="57"/>
  <c r="M145" i="57" s="1"/>
  <c r="K116" i="57"/>
  <c r="M116" i="57" s="1"/>
  <c r="K113" i="57"/>
  <c r="M113" i="57" s="1"/>
  <c r="K114" i="57"/>
  <c r="M114" i="57" s="1"/>
  <c r="K115" i="57"/>
  <c r="M115" i="57" s="1"/>
  <c r="K112" i="57"/>
  <c r="M112" i="57" s="1"/>
  <c r="L72" i="57"/>
  <c r="N72" i="57" s="1"/>
  <c r="L71" i="57"/>
  <c r="N71" i="57" s="1"/>
  <c r="O8" i="57"/>
  <c r="O128" i="57"/>
  <c r="G54" i="18"/>
  <c r="F54" i="18"/>
  <c r="O9" i="57"/>
  <c r="O904" i="44"/>
  <c r="F694" i="44"/>
  <c r="G699" i="44"/>
  <c r="L67" i="57" s="1"/>
  <c r="N67" i="57" s="1"/>
  <c r="F966" i="3"/>
  <c r="G2233" i="3"/>
  <c r="F2125" i="3"/>
  <c r="G2130" i="3"/>
  <c r="K138" i="57" s="1"/>
  <c r="M138" i="57" s="1"/>
  <c r="F2193" i="3"/>
  <c r="G2199" i="3"/>
  <c r="D63" i="55"/>
  <c r="F28" i="55"/>
  <c r="F63" i="55" s="1"/>
  <c r="F461" i="3"/>
  <c r="F460" i="3"/>
  <c r="F928" i="3"/>
  <c r="F153" i="3"/>
  <c r="F2227" i="3"/>
  <c r="F1713" i="3"/>
  <c r="F1710" i="3"/>
  <c r="F1712" i="3"/>
  <c r="F495" i="3"/>
  <c r="G27" i="55" s="1"/>
  <c r="F2160" i="3"/>
  <c r="F2159" i="3"/>
  <c r="G35" i="55"/>
  <c r="O2017" i="3"/>
  <c r="B1927" i="4"/>
  <c r="B1928" i="4" s="1"/>
  <c r="B1929" i="4" s="1"/>
  <c r="B1930" i="4" s="1"/>
  <c r="B1932" i="4" s="1"/>
  <c r="B1934" i="4" s="1"/>
  <c r="B1935" i="4" s="1"/>
  <c r="B1936" i="4" s="1"/>
  <c r="G18" i="55"/>
  <c r="G24" i="55"/>
  <c r="O1978" i="3"/>
  <c r="O2082" i="3"/>
  <c r="J971" i="44"/>
  <c r="M971" i="44" s="1"/>
  <c r="O857" i="44" s="1"/>
  <c r="O258" i="44"/>
  <c r="O130" i="44"/>
  <c r="F800" i="44"/>
  <c r="F801" i="44"/>
  <c r="H53" i="55"/>
  <c r="F158" i="44"/>
  <c r="F2228" i="3"/>
  <c r="F2194" i="3"/>
  <c r="F1714" i="3"/>
  <c r="G53" i="55" s="1"/>
  <c r="F1711" i="3"/>
  <c r="G31" i="55" s="1"/>
  <c r="F388" i="3"/>
  <c r="F389" i="3"/>
  <c r="F390" i="3"/>
  <c r="J591" i="44"/>
  <c r="M591" i="44" s="1"/>
  <c r="J580" i="44" a="1"/>
  <c r="J580" i="44" s="1"/>
  <c r="O501" i="44" s="1"/>
  <c r="J429" i="44" a="1"/>
  <c r="J429" i="44" s="1"/>
  <c r="O352" i="44" s="1"/>
  <c r="O56" i="44"/>
  <c r="P56" i="44"/>
  <c r="Q56" i="44" s="1"/>
  <c r="J57" i="44"/>
  <c r="M57" i="44" s="1"/>
  <c r="P57" i="44" s="1"/>
  <c r="Q57" i="44" s="1"/>
  <c r="J47" i="44" a="1"/>
  <c r="J47" i="44" s="1"/>
  <c r="O47" i="44" s="1"/>
  <c r="O1602" i="3"/>
  <c r="J2085" i="3" a="1"/>
  <c r="J2085" i="3" s="1"/>
  <c r="G2095" i="3" s="1"/>
  <c r="K137" i="57" s="1"/>
  <c r="M137" i="57" s="1"/>
  <c r="J2087" i="3" a="1"/>
  <c r="J2087" i="3" s="1"/>
  <c r="O1935" i="3" s="1"/>
  <c r="J1453" i="3" a="1"/>
  <c r="J1453" i="3" s="1"/>
  <c r="O1342" i="3" s="1"/>
  <c r="O428" i="3"/>
  <c r="O19" i="10"/>
  <c r="P2081" i="3"/>
  <c r="Q2081" i="3" s="1"/>
  <c r="P2014" i="3"/>
  <c r="Q2014" i="3" s="1"/>
  <c r="P2015" i="3"/>
  <c r="Q2015" i="3" s="1"/>
  <c r="J186" i="3" a="1"/>
  <c r="J186" i="3" s="1"/>
  <c r="O150" i="3"/>
  <c r="O1352" i="3"/>
  <c r="O2350" i="3"/>
  <c r="O1502" i="3"/>
  <c r="P425" i="3"/>
  <c r="Q425" i="3" s="1"/>
  <c r="P426" i="3"/>
  <c r="Q426" i="3" s="1"/>
  <c r="P2016" i="3"/>
  <c r="Q2016" i="3" s="1"/>
  <c r="P427" i="3"/>
  <c r="Q427" i="3" s="1"/>
  <c r="O1944" i="3"/>
  <c r="J525" i="3"/>
  <c r="P1975" i="3"/>
  <c r="Q1975" i="3" s="1"/>
  <c r="P1976" i="3"/>
  <c r="Q1976" i="3" s="1"/>
  <c r="Q1599" i="3"/>
  <c r="P1600" i="3"/>
  <c r="Q1600" i="3" s="1"/>
  <c r="P1978" i="3"/>
  <c r="Q1978" i="3" s="1"/>
  <c r="P2017" i="3"/>
  <c r="Q2017" i="3" s="1"/>
  <c r="P428" i="3"/>
  <c r="Q428" i="3" s="1"/>
  <c r="P2079" i="3"/>
  <c r="Q2079" i="3" s="1"/>
  <c r="P2080" i="3"/>
  <c r="Q2080" i="3" s="1"/>
  <c r="O1825" i="3"/>
  <c r="P1601" i="3"/>
  <c r="Q1601" i="3" s="1"/>
  <c r="P1602" i="3"/>
  <c r="Q1602" i="3" s="1"/>
  <c r="A832" i="4"/>
  <c r="J1451" i="3"/>
  <c r="G1461" i="3" s="1"/>
  <c r="K93" i="57" s="1"/>
  <c r="M93" i="57" s="1"/>
  <c r="O1187" i="44"/>
  <c r="H1461" i="44"/>
  <c r="J1460" i="44"/>
  <c r="M1460" i="44" s="1"/>
  <c r="O1313" i="44" s="1"/>
  <c r="H1420" i="44"/>
  <c r="J1419" i="44"/>
  <c r="M1419" i="44" s="1"/>
  <c r="O1271" i="44"/>
  <c r="O813" i="44"/>
  <c r="O1468" i="44"/>
  <c r="H1377" i="44"/>
  <c r="J1376" i="44"/>
  <c r="M1376" i="44" s="1"/>
  <c r="O1229" i="44" s="1"/>
  <c r="H1336" i="44"/>
  <c r="J1335" i="44"/>
  <c r="M1335" i="44" s="1"/>
  <c r="O1147" i="44"/>
  <c r="J1292" i="44"/>
  <c r="M1292" i="44" s="1"/>
  <c r="H1293" i="44"/>
  <c r="O228" i="3"/>
  <c r="O1037" i="44"/>
  <c r="L1101" i="44"/>
  <c r="J1101" i="44"/>
  <c r="M1101" i="44" s="1"/>
  <c r="O989" i="44" s="1"/>
  <c r="H1104" i="44"/>
  <c r="H1020" i="44"/>
  <c r="J1019" i="44"/>
  <c r="M1019" i="44" s="1"/>
  <c r="H929" i="44"/>
  <c r="J928" i="44"/>
  <c r="M928" i="44" s="1"/>
  <c r="O1435" i="44"/>
  <c r="J883" i="44"/>
  <c r="M883" i="44" s="1"/>
  <c r="O769" i="44" s="1"/>
  <c r="H884" i="44"/>
  <c r="O584" i="44"/>
  <c r="O550" i="44"/>
  <c r="L1577" i="44"/>
  <c r="J1577" i="44"/>
  <c r="M1577" i="44" s="1"/>
  <c r="J628" i="44"/>
  <c r="M628" i="44" s="1"/>
  <c r="H629" i="44"/>
  <c r="O55" i="3"/>
  <c r="J427" i="44"/>
  <c r="H1614" i="44"/>
  <c r="J1613" i="44"/>
  <c r="M1613" i="44" s="1"/>
  <c r="J1645" i="44"/>
  <c r="G1655" i="44" s="1"/>
  <c r="L128" i="57" s="1"/>
  <c r="N128" i="57" s="1"/>
  <c r="J1658" i="44"/>
  <c r="M1658" i="44" s="1"/>
  <c r="O1516" i="44" s="1"/>
  <c r="O91" i="44"/>
  <c r="J1729" i="44"/>
  <c r="M1729" i="44" s="1"/>
  <c r="O1585" i="44" s="1"/>
  <c r="H1730" i="44"/>
  <c r="O317" i="44"/>
  <c r="O397" i="44"/>
  <c r="J45" i="44" a="1"/>
  <c r="J45" i="44" s="1"/>
  <c r="O360" i="44"/>
  <c r="J1769" i="44"/>
  <c r="M1769" i="44" s="1"/>
  <c r="O1622" i="44" s="1"/>
  <c r="H1770" i="44"/>
  <c r="O275" i="44"/>
  <c r="O434" i="44"/>
  <c r="O199" i="44"/>
  <c r="O535" i="3"/>
  <c r="L2421" i="3"/>
  <c r="H2458" i="3"/>
  <c r="L1976" i="3"/>
  <c r="M1976" i="3"/>
  <c r="M1867" i="3"/>
  <c r="O1716" i="3"/>
  <c r="O1469" i="3"/>
  <c r="L1680" i="3"/>
  <c r="J1680" i="3"/>
  <c r="M1680" i="3" s="1"/>
  <c r="O1907" i="3"/>
  <c r="J477" i="44"/>
  <c r="M477" i="44" s="1"/>
  <c r="H478" i="44"/>
  <c r="H555" i="44"/>
  <c r="J554" i="44"/>
  <c r="M554" i="44" s="1"/>
  <c r="H2496" i="3"/>
  <c r="M2495" i="3"/>
  <c r="H356" i="44"/>
  <c r="J355" i="44"/>
  <c r="M355" i="44" s="1"/>
  <c r="H20" i="45"/>
  <c r="H21" i="45" s="1"/>
  <c r="J10" i="45" s="1" a="1"/>
  <c r="J10" i="45" s="1"/>
  <c r="O10" i="45" s="1"/>
  <c r="J19" i="45"/>
  <c r="M19" i="45" s="1"/>
  <c r="H57" i="3"/>
  <c r="M1535" i="3"/>
  <c r="H431" i="3"/>
  <c r="J420" i="3" s="1" a="1"/>
  <c r="J420" i="3" s="1"/>
  <c r="O382" i="3" s="1"/>
  <c r="F423" i="3"/>
  <c r="O1645" i="3"/>
  <c r="H310" i="3"/>
  <c r="L2017" i="3"/>
  <c r="H515" i="44"/>
  <c r="J514" i="44"/>
  <c r="M514" i="44" s="1"/>
  <c r="H2307" i="3"/>
  <c r="J2296" i="3" s="1" a="1"/>
  <c r="J2296" i="3" s="1"/>
  <c r="O2225" i="3"/>
  <c r="H1142" i="3"/>
  <c r="M1141" i="3"/>
  <c r="O692" i="3"/>
  <c r="O2048" i="3"/>
  <c r="P2048" i="3"/>
  <c r="Q2048" i="3" s="1"/>
  <c r="O474" i="44"/>
  <c r="H398" i="44"/>
  <c r="J397" i="44"/>
  <c r="M397" i="44" s="1"/>
  <c r="O1140" i="3"/>
  <c r="O1141" i="3" s="1"/>
  <c r="O164" i="44"/>
  <c r="L1536" i="3"/>
  <c r="M1536" i="3"/>
  <c r="O618" i="44"/>
  <c r="O511" i="44"/>
  <c r="O1869" i="3"/>
  <c r="O820" i="3"/>
  <c r="H626" i="3"/>
  <c r="J625" i="3"/>
  <c r="M625" i="3" s="1"/>
  <c r="H21" i="10"/>
  <c r="J10" i="10" s="1" a="1"/>
  <c r="J10" i="10" s="1"/>
  <c r="O10" i="10" s="1"/>
  <c r="H355" i="3"/>
  <c r="J578" i="44"/>
  <c r="G588" i="44" s="1"/>
  <c r="L64" i="57" s="1"/>
  <c r="N64" i="57" s="1"/>
  <c r="H817" i="3"/>
  <c r="J816" i="3"/>
  <c r="M816" i="3" s="1"/>
  <c r="L438" i="44"/>
  <c r="J438" i="44"/>
  <c r="M438" i="44" s="1"/>
  <c r="H93" i="44"/>
  <c r="J92" i="44"/>
  <c r="M92" i="44" s="1"/>
  <c r="H859" i="3"/>
  <c r="O1658" i="44"/>
  <c r="O1209" i="3"/>
  <c r="H201" i="44"/>
  <c r="J200" i="44"/>
  <c r="M200" i="44" s="1"/>
  <c r="O739" i="3"/>
  <c r="H1579" i="3"/>
  <c r="J731" i="3"/>
  <c r="H1979" i="3"/>
  <c r="M1613" i="3"/>
  <c r="H1614" i="3"/>
  <c r="H268" i="3"/>
  <c r="J267" i="3"/>
  <c r="M267" i="3" s="1"/>
  <c r="O1567" i="3"/>
  <c r="H1807" i="44"/>
  <c r="J1796" i="44" s="1" a="1"/>
  <c r="J1796" i="44" s="1"/>
  <c r="J1806" i="44"/>
  <c r="M1806" i="44" s="1"/>
  <c r="H2379" i="3"/>
  <c r="M2378" i="3"/>
  <c r="M1319" i="3"/>
  <c r="H1320" i="3"/>
  <c r="O982" i="3"/>
  <c r="H898" i="3"/>
  <c r="H2060" i="3"/>
  <c r="M2059" i="3"/>
  <c r="O19" i="45" l="1"/>
  <c r="L242" i="44"/>
  <c r="J242" i="44"/>
  <c r="M241" i="44"/>
  <c r="O114" i="57"/>
  <c r="O115" i="57"/>
  <c r="O24" i="57"/>
  <c r="O25" i="57"/>
  <c r="O113" i="57"/>
  <c r="O26" i="57"/>
  <c r="O93" i="57"/>
  <c r="F53" i="18"/>
  <c r="O116" i="57"/>
  <c r="O137" i="57"/>
  <c r="O145" i="57"/>
  <c r="O138" i="57"/>
  <c r="P128" i="57"/>
  <c r="P71" i="57"/>
  <c r="O146" i="57"/>
  <c r="P67" i="57"/>
  <c r="P72" i="57"/>
  <c r="O27" i="57"/>
  <c r="P64" i="57"/>
  <c r="O112" i="57"/>
  <c r="O28" i="57"/>
  <c r="K150" i="57"/>
  <c r="M150" i="57" s="1"/>
  <c r="K149" i="57"/>
  <c r="M149" i="57" s="1"/>
  <c r="K148" i="57"/>
  <c r="M148" i="57" s="1"/>
  <c r="K147" i="57"/>
  <c r="M147" i="57" s="1"/>
  <c r="O905" i="44"/>
  <c r="F50" i="44"/>
  <c r="G55" i="44"/>
  <c r="L7" i="57" s="1"/>
  <c r="N7" i="57" s="1"/>
  <c r="G439" i="44"/>
  <c r="F432" i="44"/>
  <c r="F736" i="3"/>
  <c r="G742" i="3"/>
  <c r="F530" i="3"/>
  <c r="G535" i="3"/>
  <c r="K30" i="57" s="1"/>
  <c r="M30" i="57" s="1"/>
  <c r="G198" i="3"/>
  <c r="F191" i="3"/>
  <c r="F193" i="3"/>
  <c r="F192" i="3"/>
  <c r="B1937" i="4"/>
  <c r="B1939" i="4" s="1"/>
  <c r="B1940" i="4" s="1"/>
  <c r="F701" i="3"/>
  <c r="F663" i="3"/>
  <c r="M972" i="44"/>
  <c r="O858" i="44" s="1"/>
  <c r="O512" i="44"/>
  <c r="F434" i="44"/>
  <c r="F433" i="44"/>
  <c r="F583" i="44"/>
  <c r="G48" i="55"/>
  <c r="F737" i="3"/>
  <c r="O57" i="44"/>
  <c r="J555" i="44"/>
  <c r="M555" i="44" s="1"/>
  <c r="J544" i="44" a="1"/>
  <c r="J544" i="44" s="1"/>
  <c r="O465" i="44" s="1"/>
  <c r="J478" i="44"/>
  <c r="M478" i="44" s="1"/>
  <c r="J467" i="44" a="1"/>
  <c r="J467" i="44" s="1"/>
  <c r="O388" i="44" s="1"/>
  <c r="J629" i="44"/>
  <c r="M629" i="44" s="1"/>
  <c r="J616" i="44" a="1"/>
  <c r="J616" i="44" s="1"/>
  <c r="O539" i="44" s="1"/>
  <c r="O1188" i="44"/>
  <c r="O609" i="44"/>
  <c r="J2294" i="3"/>
  <c r="G2306" i="3" s="1"/>
  <c r="O2147" i="3"/>
  <c r="J1566" i="3"/>
  <c r="J1568" i="3" a="1"/>
  <c r="J1568" i="3" s="1"/>
  <c r="O1460" i="3" s="1"/>
  <c r="M1868" i="3"/>
  <c r="P1718" i="3" s="1"/>
  <c r="Q1718" i="3" s="1"/>
  <c r="J1857" i="3" a="1"/>
  <c r="J1857" i="3" s="1"/>
  <c r="O1708" i="3" s="1"/>
  <c r="P1138" i="3"/>
  <c r="Q1138" i="3" s="1"/>
  <c r="P1139" i="3"/>
  <c r="Q1139" i="3" s="1"/>
  <c r="P1141" i="3"/>
  <c r="Q1141" i="3" s="1"/>
  <c r="O1826" i="3"/>
  <c r="P1140" i="3"/>
  <c r="Q1140" i="3" s="1"/>
  <c r="P2045" i="3"/>
  <c r="Q2045" i="3" s="1"/>
  <c r="P2046" i="3"/>
  <c r="Q2046" i="3" s="1"/>
  <c r="P2047" i="3"/>
  <c r="Q2047" i="3" s="1"/>
  <c r="O1503" i="3"/>
  <c r="O2351" i="3"/>
  <c r="O229" i="3"/>
  <c r="J1429" i="3"/>
  <c r="A833" i="4"/>
  <c r="J2416" i="3"/>
  <c r="M2416" i="3" s="1"/>
  <c r="O1908" i="3"/>
  <c r="J1461" i="44"/>
  <c r="M1461" i="44" s="1"/>
  <c r="O1314" i="44" s="1"/>
  <c r="H1462" i="44"/>
  <c r="O1272" i="44"/>
  <c r="O814" i="44"/>
  <c r="J1420" i="44"/>
  <c r="M1420" i="44" s="1"/>
  <c r="H1421" i="44"/>
  <c r="O1469" i="44"/>
  <c r="J1377" i="44"/>
  <c r="M1377" i="44" s="1"/>
  <c r="O1230" i="44" s="1"/>
  <c r="H1378" i="44"/>
  <c r="O1148" i="44"/>
  <c r="J1336" i="44"/>
  <c r="M1336" i="44" s="1"/>
  <c r="H1337" i="44"/>
  <c r="H1294" i="44"/>
  <c r="J1293" i="44"/>
  <c r="M1293" i="44" s="1"/>
  <c r="J614" i="44"/>
  <c r="G624" i="44" s="1"/>
  <c r="L65" i="57" s="1"/>
  <c r="N65" i="57" s="1"/>
  <c r="O1038" i="44"/>
  <c r="L1102" i="44"/>
  <c r="J1102" i="44"/>
  <c r="M1102" i="44" s="1"/>
  <c r="O990" i="44" s="1"/>
  <c r="H1105" i="44"/>
  <c r="H1021" i="44"/>
  <c r="J1020" i="44"/>
  <c r="M1020" i="44" s="1"/>
  <c r="H930" i="44"/>
  <c r="J929" i="44"/>
  <c r="M929" i="44" s="1"/>
  <c r="H885" i="44"/>
  <c r="J884" i="44"/>
  <c r="M884" i="44" s="1"/>
  <c r="O770" i="44" s="1"/>
  <c r="O1659" i="44"/>
  <c r="O551" i="44"/>
  <c r="O435" i="44"/>
  <c r="O619" i="44"/>
  <c r="O1436" i="44"/>
  <c r="O92" i="44"/>
  <c r="O2226" i="3"/>
  <c r="H1615" i="44"/>
  <c r="J1614" i="44"/>
  <c r="M1614" i="44" s="1"/>
  <c r="O398" i="44"/>
  <c r="O200" i="44"/>
  <c r="O318" i="44"/>
  <c r="J1730" i="44"/>
  <c r="M1730" i="44" s="1"/>
  <c r="H1731" i="44"/>
  <c r="O276" i="44"/>
  <c r="J1770" i="44"/>
  <c r="M1770" i="44" s="1"/>
  <c r="O1623" i="44" s="1"/>
  <c r="H1771" i="44"/>
  <c r="J465" i="44"/>
  <c r="O1717" i="3"/>
  <c r="L1977" i="3"/>
  <c r="M1977" i="3"/>
  <c r="J2446" i="3" a="1"/>
  <c r="J2446" i="3" s="1"/>
  <c r="O1646" i="3"/>
  <c r="J1855" i="3"/>
  <c r="O983" i="3"/>
  <c r="O740" i="3"/>
  <c r="H818" i="3"/>
  <c r="L1537" i="3"/>
  <c r="M1537" i="3"/>
  <c r="M2017" i="3"/>
  <c r="J20" i="45"/>
  <c r="M20" i="45" s="1"/>
  <c r="H899" i="3"/>
  <c r="O1210" i="3"/>
  <c r="M2379" i="3"/>
  <c r="H2380" i="3"/>
  <c r="J1807" i="44"/>
  <c r="M1807" i="44" s="1"/>
  <c r="O1649" i="44"/>
  <c r="H1980" i="3"/>
  <c r="J8" i="45"/>
  <c r="J24" i="45" s="1" a="1"/>
  <c r="J24" i="45" s="1"/>
  <c r="H202" i="44"/>
  <c r="J201" i="44"/>
  <c r="M201" i="44" s="1"/>
  <c r="O361" i="44"/>
  <c r="H356" i="3"/>
  <c r="H516" i="44"/>
  <c r="J515" i="44"/>
  <c r="M515" i="44" s="1"/>
  <c r="H58" i="3"/>
  <c r="J45" i="3" s="1"/>
  <c r="J542" i="44"/>
  <c r="G553" i="44" s="1"/>
  <c r="L70" i="57"/>
  <c r="N70" i="57" s="1"/>
  <c r="J8" i="10"/>
  <c r="H860" i="3"/>
  <c r="J848" i="3" s="1" a="1"/>
  <c r="J848" i="3" s="1"/>
  <c r="O772" i="3" s="1"/>
  <c r="H94" i="44"/>
  <c r="J93" i="44"/>
  <c r="M93" i="44" s="1"/>
  <c r="L439" i="44"/>
  <c r="J439" i="44"/>
  <c r="O536" i="3"/>
  <c r="H311" i="3"/>
  <c r="O475" i="44"/>
  <c r="O1568" i="3"/>
  <c r="J1794" i="44"/>
  <c r="G1807" i="44" s="1"/>
  <c r="M2060" i="3"/>
  <c r="H2061" i="3"/>
  <c r="M1320" i="3"/>
  <c r="H1321" i="3"/>
  <c r="H269" i="3"/>
  <c r="J268" i="3"/>
  <c r="M268" i="3" s="1"/>
  <c r="M1614" i="3"/>
  <c r="H1615" i="3"/>
  <c r="H627" i="3"/>
  <c r="J398" i="44"/>
  <c r="M398" i="44" s="1"/>
  <c r="H399" i="44"/>
  <c r="H1143" i="3"/>
  <c r="M1142" i="3"/>
  <c r="M2018" i="3"/>
  <c r="L2018" i="3"/>
  <c r="O1427" i="3"/>
  <c r="O1428" i="3" s="1"/>
  <c r="H357" i="44"/>
  <c r="J356" i="44"/>
  <c r="M356" i="44" s="1"/>
  <c r="H2497" i="3"/>
  <c r="M2496" i="3"/>
  <c r="L1681" i="3"/>
  <c r="O20" i="45" l="1"/>
  <c r="M242" i="44"/>
  <c r="O30" i="57"/>
  <c r="O147" i="57"/>
  <c r="O148" i="57"/>
  <c r="P65" i="57"/>
  <c r="P70" i="57"/>
  <c r="O150" i="57"/>
  <c r="O149" i="57"/>
  <c r="P7" i="57"/>
  <c r="O906" i="44"/>
  <c r="K12" i="57"/>
  <c r="M12" i="57" s="1"/>
  <c r="K10" i="57"/>
  <c r="M10" i="57" s="1"/>
  <c r="K11" i="57"/>
  <c r="M11" i="57" s="1"/>
  <c r="L141" i="57"/>
  <c r="N141" i="57" s="1"/>
  <c r="L142" i="57"/>
  <c r="N142" i="57" s="1"/>
  <c r="L144" i="57"/>
  <c r="N144" i="57" s="1"/>
  <c r="L143" i="57"/>
  <c r="N143" i="57" s="1"/>
  <c r="L54" i="57"/>
  <c r="N54" i="57" s="1"/>
  <c r="L55" i="57"/>
  <c r="N55" i="57" s="1"/>
  <c r="L56" i="57"/>
  <c r="N56" i="57" s="1"/>
  <c r="K155" i="57"/>
  <c r="M155" i="57" s="1"/>
  <c r="K154" i="57"/>
  <c r="M154" i="57" s="1"/>
  <c r="K153" i="57"/>
  <c r="M153" i="57" s="1"/>
  <c r="L62" i="57"/>
  <c r="N62" i="57" s="1"/>
  <c r="L61" i="57"/>
  <c r="N61" i="57" s="1"/>
  <c r="G55" i="3"/>
  <c r="K4" i="57" s="1"/>
  <c r="M4" i="57" s="1"/>
  <c r="G475" i="44"/>
  <c r="F470" i="44"/>
  <c r="F1860" i="3"/>
  <c r="G1865" i="3"/>
  <c r="K127" i="57" s="1"/>
  <c r="M127" i="57" s="1"/>
  <c r="F1571" i="3"/>
  <c r="G1576" i="3"/>
  <c r="K98" i="57" s="1"/>
  <c r="M98" i="57" s="1"/>
  <c r="F2301" i="3"/>
  <c r="F2299" i="3"/>
  <c r="B1941" i="4"/>
  <c r="B1942" i="4" s="1"/>
  <c r="B1943" i="4" s="1"/>
  <c r="B1944" i="4" s="1"/>
  <c r="B1945" i="4" s="1"/>
  <c r="B1946" i="4" s="1"/>
  <c r="B1947" i="4" s="1"/>
  <c r="B1949" i="4" s="1"/>
  <c r="B1950" i="4" s="1"/>
  <c r="B1951" i="4" s="1"/>
  <c r="B1952" i="4" s="1"/>
  <c r="B1953" i="4" s="1"/>
  <c r="B1954" i="4" s="1"/>
  <c r="B1955" i="4" s="1"/>
  <c r="B1956" i="4" s="1"/>
  <c r="B1957" i="4" s="1"/>
  <c r="B1958" i="4" s="1"/>
  <c r="B1960" i="4" s="1"/>
  <c r="B1961" i="4" s="1"/>
  <c r="F2336" i="3"/>
  <c r="F2337" i="3"/>
  <c r="O1718" i="3"/>
  <c r="O1149" i="44"/>
  <c r="J47" i="3" a="1"/>
  <c r="J47" i="3" s="1"/>
  <c r="O47" i="3" s="1"/>
  <c r="J886" i="3" a="1"/>
  <c r="J886" i="3" s="1"/>
  <c r="O810" i="3" s="1"/>
  <c r="J884" i="3"/>
  <c r="M973" i="44"/>
  <c r="O859" i="44" s="1"/>
  <c r="M974" i="44"/>
  <c r="O552" i="44"/>
  <c r="O476" i="44"/>
  <c r="O399" i="44"/>
  <c r="O1189" i="44"/>
  <c r="G55" i="55"/>
  <c r="F547" i="44"/>
  <c r="H24" i="55" s="1"/>
  <c r="F548" i="44"/>
  <c r="F1799" i="44"/>
  <c r="H20" i="55" s="1"/>
  <c r="F1801" i="44"/>
  <c r="F1800" i="44"/>
  <c r="F1802" i="44"/>
  <c r="G20" i="55"/>
  <c r="F2300" i="3"/>
  <c r="O620" i="44"/>
  <c r="J1404" i="44" a="1"/>
  <c r="J1404" i="44" s="1"/>
  <c r="O1257" i="44" s="1"/>
  <c r="J1402" i="44"/>
  <c r="G1412" i="44" s="1"/>
  <c r="L117" i="57" s="1"/>
  <c r="N117" i="57" s="1"/>
  <c r="J1758" i="44" a="1"/>
  <c r="J1758" i="44" s="1"/>
  <c r="O1611" i="44" s="1"/>
  <c r="J1716" i="44"/>
  <c r="J1718" i="44" a="1"/>
  <c r="J1718" i="44" s="1"/>
  <c r="O1574" i="44" s="1"/>
  <c r="J1320" i="44" a="1"/>
  <c r="J1320" i="44" s="1"/>
  <c r="O1173" i="44" s="1"/>
  <c r="J1318" i="44"/>
  <c r="G1328" i="44" s="1"/>
  <c r="L107" i="57" s="1"/>
  <c r="N107" i="57" s="1"/>
  <c r="O1909" i="3"/>
  <c r="O1827" i="3"/>
  <c r="O1504" i="3"/>
  <c r="O2272" i="3"/>
  <c r="P1717" i="3"/>
  <c r="Q1717" i="3" s="1"/>
  <c r="O230" i="3"/>
  <c r="P1713" i="3"/>
  <c r="Q1713" i="3" s="1"/>
  <c r="P1714" i="3"/>
  <c r="Q1714" i="3" s="1"/>
  <c r="P1715" i="3"/>
  <c r="Q1715" i="3" s="1"/>
  <c r="P1716" i="3"/>
  <c r="Q1716" i="3" s="1"/>
  <c r="M1429" i="3"/>
  <c r="A834" i="4"/>
  <c r="O2227" i="3"/>
  <c r="O815" i="44"/>
  <c r="O1273" i="44"/>
  <c r="H1463" i="44"/>
  <c r="J1462" i="44"/>
  <c r="M1462" i="44" s="1"/>
  <c r="O1315" i="44" s="1"/>
  <c r="O1470" i="44"/>
  <c r="J1421" i="44"/>
  <c r="M1421" i="44" s="1"/>
  <c r="J1378" i="44"/>
  <c r="M1378" i="44" s="1"/>
  <c r="O1231" i="44" s="1"/>
  <c r="H1379" i="44"/>
  <c r="J1337" i="44"/>
  <c r="M1337" i="44" s="1"/>
  <c r="O1660" i="44"/>
  <c r="J1294" i="44"/>
  <c r="M1294" i="44" s="1"/>
  <c r="O1150" i="44" s="1"/>
  <c r="H1295" i="44"/>
  <c r="O436" i="44"/>
  <c r="O1039" i="44"/>
  <c r="L1103" i="44"/>
  <c r="J1103" i="44"/>
  <c r="M1103" i="44" s="1"/>
  <c r="O991" i="44" s="1"/>
  <c r="H1106" i="44"/>
  <c r="J1021" i="44"/>
  <c r="M1021" i="44" s="1"/>
  <c r="H1022" i="44"/>
  <c r="H931" i="44"/>
  <c r="J930" i="44"/>
  <c r="M930" i="44" s="1"/>
  <c r="J885" i="44"/>
  <c r="M885" i="44" s="1"/>
  <c r="O771" i="44" s="1"/>
  <c r="H886" i="44"/>
  <c r="O93" i="44"/>
  <c r="O201" i="44"/>
  <c r="H1616" i="44"/>
  <c r="J1615" i="44"/>
  <c r="M1615" i="44" s="1"/>
  <c r="J1756" i="44"/>
  <c r="G1766" i="44" s="1"/>
  <c r="L140" i="57" s="1"/>
  <c r="N140" i="57" s="1"/>
  <c r="J1731" i="44"/>
  <c r="M1731" i="44" s="1"/>
  <c r="O1586" i="44"/>
  <c r="J1771" i="44"/>
  <c r="M1771" i="44" s="1"/>
  <c r="F50" i="3"/>
  <c r="O1211" i="3"/>
  <c r="L1978" i="3"/>
  <c r="M1978" i="3"/>
  <c r="J2444" i="3"/>
  <c r="O2302" i="3"/>
  <c r="H1144" i="3"/>
  <c r="M1143" i="3"/>
  <c r="H628" i="3"/>
  <c r="O1647" i="3"/>
  <c r="H2062" i="3"/>
  <c r="J2049" i="3" s="1" a="1"/>
  <c r="J2049" i="3" s="1"/>
  <c r="M2061" i="3"/>
  <c r="H357" i="3"/>
  <c r="H203" i="44"/>
  <c r="J202" i="44"/>
  <c r="M202" i="44" s="1"/>
  <c r="L1538" i="3"/>
  <c r="M1538" i="3"/>
  <c r="O2352" i="3"/>
  <c r="M2019" i="3"/>
  <c r="L2019" i="3"/>
  <c r="O319" i="44"/>
  <c r="L440" i="44"/>
  <c r="J440" i="44"/>
  <c r="M440" i="44" s="1"/>
  <c r="O1429" i="3"/>
  <c r="J846" i="3"/>
  <c r="G857" i="3" s="1"/>
  <c r="L1682" i="3"/>
  <c r="H2498" i="3"/>
  <c r="M2497" i="3"/>
  <c r="O277" i="44"/>
  <c r="M1321" i="3"/>
  <c r="H1322" i="3"/>
  <c r="H312" i="3"/>
  <c r="J94" i="44"/>
  <c r="M94" i="44" s="1"/>
  <c r="J21" i="45"/>
  <c r="M21" i="45" s="1"/>
  <c r="H270" i="3"/>
  <c r="H517" i="44"/>
  <c r="J516" i="44"/>
  <c r="M516" i="44" s="1"/>
  <c r="H1981" i="3"/>
  <c r="M2380" i="3"/>
  <c r="H2381" i="3"/>
  <c r="H358" i="44"/>
  <c r="J357" i="44"/>
  <c r="M357" i="44" s="1"/>
  <c r="O984" i="3"/>
  <c r="H400" i="44"/>
  <c r="J399" i="44"/>
  <c r="M399" i="44" s="1"/>
  <c r="M1615" i="3"/>
  <c r="H1616" i="3"/>
  <c r="M439" i="44"/>
  <c r="O1870" i="3"/>
  <c r="O1871" i="3" s="1"/>
  <c r="H819" i="3"/>
  <c r="O907" i="44" l="1"/>
  <c r="H43" i="55"/>
  <c r="O21" i="45"/>
  <c r="O1471" i="44"/>
  <c r="O98" i="57"/>
  <c r="P61" i="57"/>
  <c r="P143" i="57"/>
  <c r="P62" i="57"/>
  <c r="P117" i="57"/>
  <c r="O154" i="57"/>
  <c r="P141" i="57"/>
  <c r="O153" i="57"/>
  <c r="O155" i="57"/>
  <c r="O11" i="57"/>
  <c r="O127" i="57"/>
  <c r="P140" i="57"/>
  <c r="P56" i="57"/>
  <c r="O10" i="57"/>
  <c r="P144" i="57"/>
  <c r="P107" i="57"/>
  <c r="P55" i="57"/>
  <c r="O12" i="57"/>
  <c r="P142" i="57"/>
  <c r="P54" i="57"/>
  <c r="K51" i="57"/>
  <c r="M51" i="57" s="1"/>
  <c r="K50" i="57"/>
  <c r="M50" i="57" s="1"/>
  <c r="O4" i="57"/>
  <c r="G1728" i="44"/>
  <c r="F1721" i="44"/>
  <c r="F2449" i="3"/>
  <c r="G2454" i="3"/>
  <c r="K159" i="57" s="1"/>
  <c r="M159" i="57" s="1"/>
  <c r="F889" i="3"/>
  <c r="G894" i="3"/>
  <c r="K52" i="57" s="1"/>
  <c r="M52" i="57" s="1"/>
  <c r="F852" i="3"/>
  <c r="F851" i="3"/>
  <c r="B1963" i="4"/>
  <c r="B1964" i="4" s="1"/>
  <c r="B1965" i="4" s="1"/>
  <c r="B1966" i="4" s="1"/>
  <c r="B1967" i="4" s="1"/>
  <c r="B1968" i="4" s="1"/>
  <c r="B1970" i="4" s="1"/>
  <c r="B1971" i="4" s="1"/>
  <c r="B1972" i="4" s="1"/>
  <c r="B1973" i="4" s="1"/>
  <c r="B1974" i="4" s="1"/>
  <c r="B1975" i="4" s="1"/>
  <c r="B1976" i="4" s="1"/>
  <c r="B1977" i="4" s="1"/>
  <c r="B1978" i="4" s="1"/>
  <c r="B1979" i="4" s="1"/>
  <c r="B1980" i="4" s="1"/>
  <c r="B1981" i="4" s="1"/>
  <c r="B1982" i="4" s="1"/>
  <c r="B1983" i="4" s="1"/>
  <c r="B1984" i="4" s="1"/>
  <c r="O860" i="44"/>
  <c r="M978" i="44"/>
  <c r="M975" i="44"/>
  <c r="G60" i="55"/>
  <c r="G59" i="55"/>
  <c r="F1723" i="44"/>
  <c r="F1722" i="44"/>
  <c r="F1761" i="44"/>
  <c r="F1407" i="44"/>
  <c r="F1323" i="44"/>
  <c r="O816" i="44"/>
  <c r="J82" i="44" a="1"/>
  <c r="J82" i="44" s="1"/>
  <c r="O82" i="44" s="1"/>
  <c r="J1278" i="44" a="1"/>
  <c r="J1278" i="44" s="1"/>
  <c r="O1134" i="44" s="1"/>
  <c r="J1276" i="44"/>
  <c r="G1286" i="44" s="1"/>
  <c r="L106" i="57" s="1"/>
  <c r="N106" i="57" s="1"/>
  <c r="J1087" i="44"/>
  <c r="G1097" i="44" s="1"/>
  <c r="L84" i="57" s="1"/>
  <c r="N84" i="57" s="1"/>
  <c r="J1089" i="44" a="1"/>
  <c r="J1089" i="44" s="1"/>
  <c r="O977" i="44" s="1"/>
  <c r="J1362" i="44" a="1"/>
  <c r="J1362" i="44" s="1"/>
  <c r="O1215" i="44" s="1"/>
  <c r="J1360" i="44"/>
  <c r="G1372" i="44" s="1"/>
  <c r="O1212" i="3"/>
  <c r="O1317" i="3"/>
  <c r="O1828" i="3"/>
  <c r="O1648" i="3"/>
  <c r="O1505" i="3"/>
  <c r="O2228" i="3"/>
  <c r="A835" i="4"/>
  <c r="J1463" i="44"/>
  <c r="M1463" i="44" s="1"/>
  <c r="O1316" i="44" s="1"/>
  <c r="H1464" i="44"/>
  <c r="O1274" i="44"/>
  <c r="J1379" i="44"/>
  <c r="M1379" i="44" s="1"/>
  <c r="O1232" i="44" s="1"/>
  <c r="O1190" i="44"/>
  <c r="J1295" i="44"/>
  <c r="M1295" i="44" s="1"/>
  <c r="O437" i="44"/>
  <c r="L90" i="57"/>
  <c r="N90" i="57" s="1"/>
  <c r="O1040" i="44"/>
  <c r="O1024" i="44"/>
  <c r="O202" i="44"/>
  <c r="L1104" i="44"/>
  <c r="J1104" i="44"/>
  <c r="M1104" i="44" s="1"/>
  <c r="O992" i="44" s="1"/>
  <c r="H1023" i="44"/>
  <c r="J1022" i="44"/>
  <c r="M1022" i="44" s="1"/>
  <c r="H932" i="44"/>
  <c r="J931" i="44"/>
  <c r="M931" i="44" s="1"/>
  <c r="O94" i="44"/>
  <c r="H887" i="44"/>
  <c r="J886" i="44"/>
  <c r="M886" i="44" s="1"/>
  <c r="O772" i="44" s="1"/>
  <c r="J1616" i="44"/>
  <c r="M1616" i="44" s="1"/>
  <c r="H1617" i="44"/>
  <c r="O278" i="44"/>
  <c r="O1587" i="44"/>
  <c r="O1624" i="44"/>
  <c r="L1979" i="3"/>
  <c r="M1979" i="3"/>
  <c r="H313" i="3"/>
  <c r="H2499" i="3"/>
  <c r="M2498" i="3"/>
  <c r="H358" i="3"/>
  <c r="O320" i="44"/>
  <c r="H1982" i="3"/>
  <c r="J1965" i="3" s="1" a="1"/>
  <c r="J1965" i="3" s="1"/>
  <c r="O1817" i="3" s="1"/>
  <c r="H271" i="3"/>
  <c r="L2020" i="3"/>
  <c r="M2020" i="3"/>
  <c r="O1430" i="3"/>
  <c r="M2062" i="3"/>
  <c r="J2047" i="3"/>
  <c r="O1898" i="3"/>
  <c r="H1145" i="3"/>
  <c r="J1128" i="3" s="1" a="1"/>
  <c r="J1128" i="3" s="1"/>
  <c r="M1144" i="3"/>
  <c r="O985" i="3"/>
  <c r="M1616" i="3"/>
  <c r="H1617" i="3"/>
  <c r="J400" i="44"/>
  <c r="M400" i="44" s="1"/>
  <c r="H401" i="44"/>
  <c r="H518" i="44"/>
  <c r="J517" i="44"/>
  <c r="M517" i="44" s="1"/>
  <c r="J95" i="44"/>
  <c r="M95" i="44" s="1"/>
  <c r="J80" i="44"/>
  <c r="M1322" i="3"/>
  <c r="H1323" i="3"/>
  <c r="L1683" i="3"/>
  <c r="O1872" i="3"/>
  <c r="L1539" i="3"/>
  <c r="M1539" i="3"/>
  <c r="H204" i="44"/>
  <c r="J203" i="44"/>
  <c r="M203" i="44" s="1"/>
  <c r="H629" i="3"/>
  <c r="O1910" i="3"/>
  <c r="H820" i="3"/>
  <c r="O362" i="44"/>
  <c r="O363" i="44" s="1"/>
  <c r="H359" i="44"/>
  <c r="J358" i="44"/>
  <c r="M358" i="44" s="1"/>
  <c r="M2381" i="3"/>
  <c r="H2382" i="3"/>
  <c r="J25" i="45"/>
  <c r="O2353" i="3"/>
  <c r="B1985" i="4" l="1"/>
  <c r="B1986" i="4" s="1"/>
  <c r="B1987" i="4" s="1"/>
  <c r="B1988" i="4" s="1"/>
  <c r="B1989" i="4" s="1"/>
  <c r="B1990" i="4" s="1"/>
  <c r="B1991" i="4" s="1"/>
  <c r="B1992" i="4" s="1"/>
  <c r="B1993" i="4" s="1"/>
  <c r="B1994" i="4" s="1"/>
  <c r="B1995" i="4" s="1"/>
  <c r="B1996" i="4" s="1"/>
  <c r="B1997" i="4" s="1"/>
  <c r="B1998" i="4" s="1"/>
  <c r="B1999" i="4" s="1"/>
  <c r="B2001" i="4" s="1"/>
  <c r="B2002" i="4" s="1"/>
  <c r="B2003" i="4" s="1"/>
  <c r="B2005" i="4" s="1"/>
  <c r="B2006" i="4" s="1"/>
  <c r="B2008" i="4" s="1"/>
  <c r="B2009" i="4" s="1"/>
  <c r="B2010" i="4" s="1"/>
  <c r="B2011" i="4" s="1"/>
  <c r="B2012" i="4" s="1"/>
  <c r="O1472" i="44"/>
  <c r="O908" i="44"/>
  <c r="P16" i="45"/>
  <c r="Q16" i="45" s="1"/>
  <c r="P17" i="45"/>
  <c r="Q17" i="45" s="1"/>
  <c r="P18" i="45"/>
  <c r="Q18" i="45" s="1"/>
  <c r="P19" i="45"/>
  <c r="Q19" i="45" s="1"/>
  <c r="P20" i="45"/>
  <c r="Q20" i="45" s="1"/>
  <c r="P21" i="45"/>
  <c r="Q21" i="45" s="1"/>
  <c r="P90" i="57"/>
  <c r="P106" i="57"/>
  <c r="P84" i="57"/>
  <c r="O50" i="57"/>
  <c r="O51" i="57"/>
  <c r="O52" i="57"/>
  <c r="O159" i="57"/>
  <c r="L109" i="57"/>
  <c r="N109" i="57" s="1"/>
  <c r="L108" i="57"/>
  <c r="N108" i="57" s="1"/>
  <c r="L110" i="57"/>
  <c r="N110" i="57" s="1"/>
  <c r="L130" i="57"/>
  <c r="N130" i="57" s="1"/>
  <c r="L132" i="57"/>
  <c r="N132" i="57" s="1"/>
  <c r="L131" i="57"/>
  <c r="N131" i="57" s="1"/>
  <c r="G90" i="44"/>
  <c r="L8" i="57" s="1"/>
  <c r="N8" i="57" s="1"/>
  <c r="F85" i="44"/>
  <c r="F2052" i="3"/>
  <c r="G2057" i="3"/>
  <c r="K136" i="57" s="1"/>
  <c r="M136" i="57" s="1"/>
  <c r="O861" i="44"/>
  <c r="M976" i="44"/>
  <c r="M982" i="44"/>
  <c r="O817" i="44"/>
  <c r="J626" i="3"/>
  <c r="M626" i="3" s="1"/>
  <c r="O537" i="3" s="1"/>
  <c r="F1365" i="44"/>
  <c r="F1366" i="44"/>
  <c r="F1367" i="44"/>
  <c r="H31" i="55" s="1"/>
  <c r="F1281" i="44"/>
  <c r="F1092" i="44"/>
  <c r="O1636" i="3"/>
  <c r="O1213" i="3"/>
  <c r="O1506" i="3"/>
  <c r="O986" i="3"/>
  <c r="P1911" i="3"/>
  <c r="Q1911" i="3" s="1"/>
  <c r="O1649" i="3"/>
  <c r="O2229" i="3"/>
  <c r="P1314" i="3"/>
  <c r="Q1314" i="3" s="1"/>
  <c r="P1316" i="3"/>
  <c r="Q1316" i="3" s="1"/>
  <c r="P1315" i="3"/>
  <c r="Q1315" i="3" s="1"/>
  <c r="O1431" i="3"/>
  <c r="O1829" i="3"/>
  <c r="P1317" i="3"/>
  <c r="Q1317" i="3" s="1"/>
  <c r="A836" i="4"/>
  <c r="H1465" i="44"/>
  <c r="J1464" i="44"/>
  <c r="M1464" i="44" s="1"/>
  <c r="O1317" i="44" s="1"/>
  <c r="O438" i="44"/>
  <c r="O1151" i="44"/>
  <c r="O203" i="44"/>
  <c r="O1041" i="44"/>
  <c r="L1105" i="44"/>
  <c r="J1105" i="44"/>
  <c r="M1105" i="44" s="1"/>
  <c r="O993" i="44" s="1"/>
  <c r="H1024" i="44"/>
  <c r="J1023" i="44"/>
  <c r="M1023" i="44" s="1"/>
  <c r="O95" i="44"/>
  <c r="H933" i="44"/>
  <c r="J932" i="44"/>
  <c r="M932" i="44" s="1"/>
  <c r="J887" i="44"/>
  <c r="M887" i="44" s="1"/>
  <c r="O773" i="44" s="1"/>
  <c r="H888" i="44"/>
  <c r="J871" i="44" s="1" a="1"/>
  <c r="J871" i="44" s="1"/>
  <c r="J1617" i="44"/>
  <c r="M1617" i="44" s="1"/>
  <c r="O1473" i="44" s="1"/>
  <c r="H1618" i="44"/>
  <c r="O321" i="44"/>
  <c r="L1980" i="3"/>
  <c r="M1980" i="3"/>
  <c r="L2021" i="3"/>
  <c r="M2021" i="3"/>
  <c r="H272" i="3"/>
  <c r="H2500" i="3"/>
  <c r="M2499" i="3"/>
  <c r="H402" i="44"/>
  <c r="J401" i="44"/>
  <c r="M401" i="44" s="1"/>
  <c r="O1911" i="3"/>
  <c r="J1963" i="3"/>
  <c r="H359" i="3"/>
  <c r="H2383" i="3"/>
  <c r="M2382" i="3"/>
  <c r="L1540" i="3"/>
  <c r="M1540" i="3"/>
  <c r="M1323" i="3"/>
  <c r="H1324" i="3"/>
  <c r="M1617" i="3"/>
  <c r="H1618" i="3"/>
  <c r="O279" i="44"/>
  <c r="H821" i="3"/>
  <c r="H630" i="3"/>
  <c r="H205" i="44"/>
  <c r="J204" i="44"/>
  <c r="M204" i="44" s="1"/>
  <c r="M1145" i="3"/>
  <c r="J1126" i="3" a="1"/>
  <c r="J1126" i="3" s="1"/>
  <c r="O970" i="3"/>
  <c r="H360" i="44"/>
  <c r="J359" i="44"/>
  <c r="M359" i="44" s="1"/>
  <c r="H519" i="44"/>
  <c r="J502" i="44" s="1"/>
  <c r="J522" i="44" s="1"/>
  <c r="J518" i="44"/>
  <c r="M518" i="44" s="1"/>
  <c r="O1873" i="3"/>
  <c r="O2354" i="3"/>
  <c r="H314" i="3"/>
  <c r="J26" i="45" l="1"/>
  <c r="P109" i="57"/>
  <c r="P131" i="57"/>
  <c r="O136" i="57"/>
  <c r="P132" i="57"/>
  <c r="P130" i="57"/>
  <c r="P110" i="57"/>
  <c r="P108" i="57"/>
  <c r="P8" i="57"/>
  <c r="G512" i="44"/>
  <c r="L57" i="57" s="1"/>
  <c r="N57" i="57" s="1"/>
  <c r="F507" i="44"/>
  <c r="O862" i="44"/>
  <c r="J342" i="3" a="1"/>
  <c r="J342" i="3" s="1"/>
  <c r="O304" i="3" s="1"/>
  <c r="J340" i="3"/>
  <c r="G350" i="3" s="1"/>
  <c r="K22" i="57" s="1"/>
  <c r="M22" i="57" s="1"/>
  <c r="F1968" i="3"/>
  <c r="G1973" i="3"/>
  <c r="K134" i="57" s="1"/>
  <c r="M134" i="57" s="1"/>
  <c r="F1131" i="3"/>
  <c r="G1136" i="3"/>
  <c r="K74" i="57" s="1"/>
  <c r="M74" i="57" s="1"/>
  <c r="B2014" i="4"/>
  <c r="M977" i="44"/>
  <c r="M986" i="44"/>
  <c r="O818" i="44"/>
  <c r="O280" i="44"/>
  <c r="J504" i="44" a="1"/>
  <c r="J504" i="44" s="1"/>
  <c r="O425" i="44" s="1"/>
  <c r="O2230" i="3"/>
  <c r="O1214" i="3"/>
  <c r="O1432" i="3"/>
  <c r="O1830" i="3"/>
  <c r="O1507" i="3"/>
  <c r="P1904" i="3"/>
  <c r="Q1904" i="3" s="1"/>
  <c r="P1905" i="3"/>
  <c r="Q1905" i="3" s="1"/>
  <c r="P1906" i="3"/>
  <c r="Q1906" i="3" s="1"/>
  <c r="P1907" i="3"/>
  <c r="Q1907" i="3" s="1"/>
  <c r="P1908" i="3"/>
  <c r="Q1908" i="3" s="1"/>
  <c r="P1909" i="3"/>
  <c r="Q1909" i="3" s="1"/>
  <c r="P1910" i="3"/>
  <c r="Q1910" i="3" s="1"/>
  <c r="A837" i="4"/>
  <c r="O439" i="44"/>
  <c r="H1466" i="44"/>
  <c r="J1465" i="44"/>
  <c r="M1465" i="44" s="1"/>
  <c r="O1318" i="44" s="1"/>
  <c r="O204" i="44"/>
  <c r="J888" i="44"/>
  <c r="M888" i="44" s="1"/>
  <c r="O774" i="44" s="1"/>
  <c r="J869" i="44"/>
  <c r="G882" i="44" s="1"/>
  <c r="O757" i="44"/>
  <c r="J1024" i="44"/>
  <c r="M1024" i="44" s="1"/>
  <c r="J1027" i="44" s="1"/>
  <c r="L1106" i="44"/>
  <c r="J1106" i="44"/>
  <c r="M1106" i="44" s="1"/>
  <c r="O909" i="44"/>
  <c r="H934" i="44"/>
  <c r="J933" i="44"/>
  <c r="M933" i="44" s="1"/>
  <c r="O322" i="44"/>
  <c r="J1618" i="44"/>
  <c r="M1618" i="44" s="1"/>
  <c r="H1619" i="44"/>
  <c r="L1981" i="3"/>
  <c r="M1981" i="3"/>
  <c r="M1324" i="3"/>
  <c r="H1325" i="3"/>
  <c r="H206" i="44"/>
  <c r="J205" i="44"/>
  <c r="M205" i="44" s="1"/>
  <c r="M1618" i="3"/>
  <c r="H1619" i="3"/>
  <c r="M2383" i="3"/>
  <c r="H2384" i="3"/>
  <c r="H822" i="3"/>
  <c r="L1541" i="3"/>
  <c r="M1541" i="3"/>
  <c r="J402" i="44"/>
  <c r="M402" i="44" s="1"/>
  <c r="H403" i="44"/>
  <c r="H273" i="3"/>
  <c r="O987" i="3"/>
  <c r="P987" i="3"/>
  <c r="Q987" i="3" s="1"/>
  <c r="O2355" i="3"/>
  <c r="O1874" i="3"/>
  <c r="H315" i="3"/>
  <c r="O1650" i="3"/>
  <c r="J519" i="44"/>
  <c r="M519" i="44" s="1"/>
  <c r="H361" i="44"/>
  <c r="J360" i="44"/>
  <c r="M360" i="44" s="1"/>
  <c r="H631" i="3"/>
  <c r="H2501" i="3"/>
  <c r="M2500" i="3"/>
  <c r="L2022" i="3"/>
  <c r="M2022" i="3"/>
  <c r="B2015" i="4" l="1"/>
  <c r="B2016" i="4" s="1"/>
  <c r="B2017" i="4" s="1"/>
  <c r="B2018" i="4" s="1"/>
  <c r="B2019" i="4" s="1"/>
  <c r="B2020" i="4" s="1"/>
  <c r="B2021" i="4" s="1"/>
  <c r="B2022" i="4" s="1"/>
  <c r="B2023" i="4" s="1"/>
  <c r="B2024" i="4" s="1"/>
  <c r="B2025" i="4" s="1"/>
  <c r="B2027" i="4" s="1"/>
  <c r="B2028" i="4" s="1"/>
  <c r="B2029" i="4" s="1"/>
  <c r="B2030" i="4" s="1"/>
  <c r="B2031" i="4" s="1"/>
  <c r="B2032" i="4" s="1"/>
  <c r="B2033" i="4" s="1"/>
  <c r="B2034" i="4" s="1"/>
  <c r="B2036" i="4" s="1"/>
  <c r="B2037" i="4" s="1"/>
  <c r="B2038" i="4" s="1"/>
  <c r="B2039" i="4" s="1"/>
  <c r="B2040" i="4" s="1"/>
  <c r="B2041" i="4" s="1"/>
  <c r="B2042" i="4" s="1"/>
  <c r="B2043" i="4" s="1"/>
  <c r="B2044" i="4" s="1"/>
  <c r="B2045" i="4" s="1"/>
  <c r="B2046" i="4" s="1"/>
  <c r="B2047" i="4" s="1"/>
  <c r="B2048" i="4" s="1"/>
  <c r="B2050" i="4" s="1"/>
  <c r="B2051" i="4" s="1"/>
  <c r="B2052" i="4" s="1"/>
  <c r="B2053" i="4" s="1"/>
  <c r="B2054" i="4" s="1"/>
  <c r="B2055" i="4" s="1"/>
  <c r="B2056" i="4" s="1"/>
  <c r="B2057" i="4" s="1"/>
  <c r="B2058" i="4" s="1"/>
  <c r="B2060" i="4" s="1"/>
  <c r="B2061" i="4" s="1"/>
  <c r="B2062" i="4" s="1"/>
  <c r="B2063" i="4" s="1"/>
  <c r="B2064" i="4" s="1"/>
  <c r="B2065" i="4" s="1"/>
  <c r="B2066" i="4" s="1"/>
  <c r="B2067" i="4" s="1"/>
  <c r="O863" i="44"/>
  <c r="O864" i="44" s="1"/>
  <c r="J189" i="44" a="1"/>
  <c r="J189" i="44" s="1"/>
  <c r="O189" i="44" s="1"/>
  <c r="O134" i="57"/>
  <c r="O22" i="57"/>
  <c r="O74" i="57"/>
  <c r="P57" i="57"/>
  <c r="F345" i="3"/>
  <c r="J2484" i="3"/>
  <c r="O2340" i="3" s="1"/>
  <c r="J805" i="3" a="1"/>
  <c r="J805" i="3" s="1"/>
  <c r="O729" i="3" s="1"/>
  <c r="J803" i="3"/>
  <c r="O819" i="44"/>
  <c r="M988" i="44"/>
  <c r="M979" i="44"/>
  <c r="O281" i="44"/>
  <c r="O205" i="44"/>
  <c r="J1600" i="44"/>
  <c r="G1610" i="44" s="1"/>
  <c r="L123" i="57" s="1"/>
  <c r="N123" i="57" s="1"/>
  <c r="J1602" i="44" a="1"/>
  <c r="J1602" i="44" s="1"/>
  <c r="O1458" i="44" s="1"/>
  <c r="P1642" i="3"/>
  <c r="Q1642" i="3" s="1"/>
  <c r="P1643" i="3"/>
  <c r="Q1643" i="3" s="1"/>
  <c r="P1644" i="3"/>
  <c r="Q1644" i="3" s="1"/>
  <c r="P1645" i="3"/>
  <c r="Q1645" i="3" s="1"/>
  <c r="P1646" i="3"/>
  <c r="Q1646" i="3" s="1"/>
  <c r="P1647" i="3"/>
  <c r="Q1647" i="3" s="1"/>
  <c r="P1648" i="3"/>
  <c r="Q1648" i="3" s="1"/>
  <c r="P1649" i="3"/>
  <c r="Q1649" i="3" s="1"/>
  <c r="O1508" i="3"/>
  <c r="O1215" i="3"/>
  <c r="P978" i="3"/>
  <c r="Q978" i="3" s="1"/>
  <c r="P976" i="3"/>
  <c r="Q976" i="3" s="1"/>
  <c r="P980" i="3"/>
  <c r="Q980" i="3" s="1"/>
  <c r="P979" i="3"/>
  <c r="Q979" i="3" s="1"/>
  <c r="P977" i="3"/>
  <c r="Q977" i="3" s="1"/>
  <c r="P981" i="3"/>
  <c r="Q981" i="3" s="1"/>
  <c r="P982" i="3"/>
  <c r="Q982" i="3" s="1"/>
  <c r="P983" i="3"/>
  <c r="Q983" i="3" s="1"/>
  <c r="P984" i="3"/>
  <c r="Q984" i="3" s="1"/>
  <c r="P985" i="3"/>
  <c r="Q985" i="3" s="1"/>
  <c r="P986" i="3"/>
  <c r="Q986" i="3" s="1"/>
  <c r="O1831" i="3"/>
  <c r="O1875" i="3"/>
  <c r="O1433" i="3"/>
  <c r="O2231" i="3"/>
  <c r="P1650" i="3"/>
  <c r="Q1650" i="3" s="1"/>
  <c r="A838" i="4"/>
  <c r="J1466" i="44"/>
  <c r="M1466" i="44" s="1"/>
  <c r="O1319" i="44" s="1"/>
  <c r="H1467" i="44"/>
  <c r="J1444" i="44" s="1"/>
  <c r="J1470" i="44" s="1"/>
  <c r="O910" i="44"/>
  <c r="O994" i="44"/>
  <c r="O323" i="44"/>
  <c r="H935" i="44"/>
  <c r="J914" i="44" s="1" a="1"/>
  <c r="J914" i="44" s="1"/>
  <c r="J934" i="44"/>
  <c r="M934" i="44" s="1"/>
  <c r="O820" i="44" s="1"/>
  <c r="O2356" i="3"/>
  <c r="J1619" i="44"/>
  <c r="M1619" i="44" s="1"/>
  <c r="O1474" i="44"/>
  <c r="L1982" i="3"/>
  <c r="M1982" i="3"/>
  <c r="H632" i="3"/>
  <c r="L1542" i="3"/>
  <c r="M1542" i="3"/>
  <c r="M1325" i="3"/>
  <c r="H1326" i="3"/>
  <c r="G43" i="55" s="1"/>
  <c r="M2501" i="3"/>
  <c r="J2482" i="3"/>
  <c r="O440" i="44"/>
  <c r="H404" i="44"/>
  <c r="J387" i="44" s="1" a="1"/>
  <c r="J387" i="44" s="1"/>
  <c r="J403" i="44"/>
  <c r="M403" i="44" s="1"/>
  <c r="H2385" i="3"/>
  <c r="M2384" i="3"/>
  <c r="J299" i="3" a="1"/>
  <c r="J299" i="3" s="1"/>
  <c r="O263" i="3" s="1"/>
  <c r="J206" i="44"/>
  <c r="M206" i="44" s="1"/>
  <c r="J187" i="44"/>
  <c r="L2023" i="3"/>
  <c r="M2023" i="3"/>
  <c r="H362" i="44"/>
  <c r="J361" i="44"/>
  <c r="M361" i="44" s="1"/>
  <c r="H274" i="3"/>
  <c r="M1619" i="3"/>
  <c r="H1620" i="3"/>
  <c r="O865" i="44" l="1"/>
  <c r="F235" i="44"/>
  <c r="L17" i="57"/>
  <c r="P123" i="57"/>
  <c r="G199" i="44"/>
  <c r="F192" i="44"/>
  <c r="G1454" i="44"/>
  <c r="L118" i="57" s="1"/>
  <c r="N118" i="57" s="1"/>
  <c r="F2487" i="3"/>
  <c r="G2492" i="3"/>
  <c r="K160" i="57" s="1"/>
  <c r="M160" i="57" s="1"/>
  <c r="F808" i="3"/>
  <c r="G813" i="3"/>
  <c r="K49" i="57" s="1"/>
  <c r="M49" i="57" s="1"/>
  <c r="B2068" i="4"/>
  <c r="B2069" i="4" s="1"/>
  <c r="B2071" i="4" s="1"/>
  <c r="B2072" i="4" s="1"/>
  <c r="B2074" i="4" s="1"/>
  <c r="J257" i="3" a="1"/>
  <c r="J257" i="3" s="1"/>
  <c r="O219" i="3" s="1"/>
  <c r="O282" i="44"/>
  <c r="M980" i="44"/>
  <c r="F193" i="44"/>
  <c r="F1605" i="44"/>
  <c r="J345" i="44" a="1"/>
  <c r="J345" i="44" s="1"/>
  <c r="O266" i="44" s="1"/>
  <c r="O1299" i="44"/>
  <c r="J1309" i="3" a="1"/>
  <c r="J1309" i="3" s="1"/>
  <c r="O1200" i="3" s="1"/>
  <c r="J2368" i="3" a="1"/>
  <c r="J2368" i="3" s="1"/>
  <c r="O2217" i="3" s="1"/>
  <c r="O1434" i="3"/>
  <c r="O2232" i="3"/>
  <c r="O1509" i="3"/>
  <c r="O1876" i="3"/>
  <c r="O1216" i="3"/>
  <c r="A839" i="4"/>
  <c r="J1467" i="44"/>
  <c r="M1467" i="44" s="1"/>
  <c r="O1320" i="44" s="1"/>
  <c r="O2357" i="3"/>
  <c r="J935" i="44"/>
  <c r="M935" i="44" s="1"/>
  <c r="J912" i="44"/>
  <c r="G922" i="44" s="1"/>
  <c r="O800" i="44"/>
  <c r="O324" i="44"/>
  <c r="O1475" i="44"/>
  <c r="O1832" i="3"/>
  <c r="M1620" i="3"/>
  <c r="H1621" i="3"/>
  <c r="L1543" i="3"/>
  <c r="M1543" i="3"/>
  <c r="J255" i="3"/>
  <c r="O206" i="44"/>
  <c r="M1326" i="3"/>
  <c r="J1307" i="3"/>
  <c r="J404" i="44"/>
  <c r="M404" i="44" s="1"/>
  <c r="J385" i="44"/>
  <c r="G395" i="44" s="1"/>
  <c r="L47" i="57" s="1"/>
  <c r="N47" i="57" s="1"/>
  <c r="O308" i="44"/>
  <c r="P1286" i="3"/>
  <c r="Q1286" i="3" s="1"/>
  <c r="H633" i="3"/>
  <c r="J616" i="3" s="1" a="1"/>
  <c r="J616" i="3" s="1"/>
  <c r="O527" i="3" s="1"/>
  <c r="J362" i="44"/>
  <c r="M362" i="44" s="1"/>
  <c r="J343" i="44"/>
  <c r="G353" i="44" s="1"/>
  <c r="L46" i="57" s="1"/>
  <c r="N46" i="57" s="1"/>
  <c r="L2024" i="3"/>
  <c r="M2024" i="3"/>
  <c r="J297" i="3"/>
  <c r="G308" i="3" s="1"/>
  <c r="M2385" i="3"/>
  <c r="J2366" i="3" a="1"/>
  <c r="J2366" i="3" s="1"/>
  <c r="B2075" i="4" l="1"/>
  <c r="B2076" i="4" s="1"/>
  <c r="B2077" i="4" s="1"/>
  <c r="B2078" i="4" s="1"/>
  <c r="B2079" i="4" s="1"/>
  <c r="B2080" i="4" s="1"/>
  <c r="B2081" i="4" s="1"/>
  <c r="B2082" i="4" s="1"/>
  <c r="B2083" i="4" s="1"/>
  <c r="B2085" i="4" s="1"/>
  <c r="B2086" i="4" s="1"/>
  <c r="B2087" i="4" s="1"/>
  <c r="B2088" i="4" s="1"/>
  <c r="B2090" i="4" s="1"/>
  <c r="B2091" i="4" s="1"/>
  <c r="B2092" i="4" s="1"/>
  <c r="B2093" i="4" s="1"/>
  <c r="B2095" i="4" s="1"/>
  <c r="B2096" i="4" s="1"/>
  <c r="B2097" i="4" s="1"/>
  <c r="B2098" i="4" s="1"/>
  <c r="B2099" i="4" s="1"/>
  <c r="B2100" i="4" s="1"/>
  <c r="B2101" i="4" s="1"/>
  <c r="B2102" i="4" s="1"/>
  <c r="B2103" i="4" s="1"/>
  <c r="B2105" i="4" s="1"/>
  <c r="B2106" i="4" s="1"/>
  <c r="B2107" i="4" s="1"/>
  <c r="B2108" i="4" s="1"/>
  <c r="B2109" i="4" s="1"/>
  <c r="B2110" i="4" s="1"/>
  <c r="B2111" i="4" s="1"/>
  <c r="B2112" i="4" s="1"/>
  <c r="B2113" i="4" s="1"/>
  <c r="B2114" i="4" s="1"/>
  <c r="B2115" i="4" s="1"/>
  <c r="B2116" i="4" s="1"/>
  <c r="B2117" i="4" s="1"/>
  <c r="B2118" i="4" s="1"/>
  <c r="B2119" i="4" s="1"/>
  <c r="B2120" i="4" s="1"/>
  <c r="B2121" i="4" s="1"/>
  <c r="B2122" i="4" s="1"/>
  <c r="B2123" i="4" s="1"/>
  <c r="B2124" i="4" s="1"/>
  <c r="B2125" i="4" s="1"/>
  <c r="B2126" i="4" s="1"/>
  <c r="B2127" i="4" s="1"/>
  <c r="B2128" i="4" s="1"/>
  <c r="B2129" i="4" s="1"/>
  <c r="B2130" i="4" s="1"/>
  <c r="B2131" i="4" s="1"/>
  <c r="B2132" i="4" s="1"/>
  <c r="B2133" i="4" s="1"/>
  <c r="B2135" i="4" s="1"/>
  <c r="B2136" i="4" s="1"/>
  <c r="B2137" i="4" s="1"/>
  <c r="B2138" i="4" s="1"/>
  <c r="B2139" i="4" s="1"/>
  <c r="B2140" i="4" s="1"/>
  <c r="B2141" i="4" s="1"/>
  <c r="B2142" i="4" s="1"/>
  <c r="B2143" i="4" s="1"/>
  <c r="P4" i="3"/>
  <c r="O866" i="44"/>
  <c r="P17" i="57"/>
  <c r="N17" i="57"/>
  <c r="O160" i="57"/>
  <c r="O49" i="57"/>
  <c r="P118" i="57"/>
  <c r="P46" i="57"/>
  <c r="L75" i="57"/>
  <c r="N75" i="57" s="1"/>
  <c r="L78" i="57"/>
  <c r="N78" i="57" s="1"/>
  <c r="L77" i="57"/>
  <c r="N77" i="57" s="1"/>
  <c r="L76" i="57"/>
  <c r="N76" i="57" s="1"/>
  <c r="K21" i="57"/>
  <c r="M21" i="57" s="1"/>
  <c r="K20" i="57"/>
  <c r="M20" i="57" s="1"/>
  <c r="L15" i="57"/>
  <c r="N15" i="57" s="1"/>
  <c r="L16" i="57"/>
  <c r="N16" i="57" s="1"/>
  <c r="P47" i="57"/>
  <c r="F2371" i="3"/>
  <c r="G2376" i="3"/>
  <c r="K157" i="57" s="1"/>
  <c r="M157" i="57" s="1"/>
  <c r="F1312" i="3"/>
  <c r="G1317" i="3"/>
  <c r="K87" i="57" s="1"/>
  <c r="M87" i="57" s="1"/>
  <c r="F260" i="3"/>
  <c r="G265" i="3"/>
  <c r="K19" i="57" s="1"/>
  <c r="M19" i="57" s="1"/>
  <c r="O821" i="44"/>
  <c r="M981" i="44"/>
  <c r="F877" i="44"/>
  <c r="H35" i="55" s="1"/>
  <c r="F876" i="44"/>
  <c r="H29" i="55" s="1"/>
  <c r="F875" i="44"/>
  <c r="H18" i="55" s="1"/>
  <c r="F874" i="44"/>
  <c r="F1449" i="44"/>
  <c r="F390" i="44"/>
  <c r="F348" i="44"/>
  <c r="F302" i="3"/>
  <c r="F303" i="3"/>
  <c r="P2346" i="3"/>
  <c r="Q2346" i="3" s="1"/>
  <c r="P2347" i="3"/>
  <c r="Q2347" i="3" s="1"/>
  <c r="P2348" i="3"/>
  <c r="Q2348" i="3" s="1"/>
  <c r="P2349" i="3"/>
  <c r="Q2349" i="3" s="1"/>
  <c r="P2350" i="3"/>
  <c r="Q2350" i="3" s="1"/>
  <c r="P2351" i="3"/>
  <c r="Q2351" i="3" s="1"/>
  <c r="P2352" i="3"/>
  <c r="Q2352" i="3" s="1"/>
  <c r="P2353" i="3"/>
  <c r="Q2353" i="3" s="1"/>
  <c r="P2354" i="3"/>
  <c r="Q2354" i="3" s="1"/>
  <c r="P2355" i="3"/>
  <c r="Q2355" i="3" s="1"/>
  <c r="P2356" i="3"/>
  <c r="Q2356" i="3" s="1"/>
  <c r="O1510" i="3"/>
  <c r="P2357" i="3"/>
  <c r="Q2357" i="3" s="1"/>
  <c r="P1822" i="3"/>
  <c r="Q1822" i="3" s="1"/>
  <c r="P1821" i="3"/>
  <c r="Q1821" i="3" s="1"/>
  <c r="P1823" i="3"/>
  <c r="Q1823" i="3" s="1"/>
  <c r="P1824" i="3"/>
  <c r="Q1824" i="3" s="1"/>
  <c r="P1825" i="3"/>
  <c r="Q1825" i="3" s="1"/>
  <c r="P1826" i="3"/>
  <c r="Q1826" i="3" s="1"/>
  <c r="P1827" i="3"/>
  <c r="Q1827" i="3" s="1"/>
  <c r="P1828" i="3"/>
  <c r="Q1828" i="3" s="1"/>
  <c r="P1829" i="3"/>
  <c r="Q1829" i="3" s="1"/>
  <c r="P1830" i="3"/>
  <c r="Q1830" i="3" s="1"/>
  <c r="P1831" i="3"/>
  <c r="Q1831" i="3" s="1"/>
  <c r="P1832" i="3"/>
  <c r="Q1832" i="3" s="1"/>
  <c r="A840" i="4"/>
  <c r="O1877" i="3"/>
  <c r="P1877" i="3"/>
  <c r="Q1877" i="3" s="1"/>
  <c r="J614" i="3" a="1"/>
  <c r="J614" i="3" s="1"/>
  <c r="O1435" i="3"/>
  <c r="P1435" i="3"/>
  <c r="Q1435" i="3" s="1"/>
  <c r="O2233" i="3"/>
  <c r="O325" i="44"/>
  <c r="O283" i="44"/>
  <c r="O1217" i="3"/>
  <c r="P1217" i="3"/>
  <c r="Q1217" i="3" s="1"/>
  <c r="M1621" i="3"/>
  <c r="H1622" i="3"/>
  <c r="J236" i="3" l="1"/>
  <c r="J2346" i="3"/>
  <c r="J1054" i="3"/>
  <c r="M1054" i="3" s="1"/>
  <c r="J1053" i="3"/>
  <c r="M1053" i="3" s="1"/>
  <c r="J1055" i="3"/>
  <c r="M1055" i="3" s="1"/>
  <c r="J1056" i="3"/>
  <c r="M1056" i="3" s="1"/>
  <c r="J675" i="3"/>
  <c r="J155" i="3"/>
  <c r="M155" i="3" s="1"/>
  <c r="O867" i="44"/>
  <c r="O868" i="44" s="1"/>
  <c r="H12" i="55"/>
  <c r="O157" i="57"/>
  <c r="P16" i="57"/>
  <c r="O20" i="57"/>
  <c r="O21" i="57"/>
  <c r="P76" i="57"/>
  <c r="P77" i="57"/>
  <c r="O87" i="57"/>
  <c r="P78" i="57"/>
  <c r="G53" i="18"/>
  <c r="P75" i="57"/>
  <c r="P15" i="57"/>
  <c r="O19" i="57"/>
  <c r="F619" i="3"/>
  <c r="G624" i="3"/>
  <c r="K37" i="57" s="1"/>
  <c r="M37" i="57" s="1"/>
  <c r="B2146" i="4"/>
  <c r="B2147" i="4" s="1"/>
  <c r="B2148" i="4" s="1"/>
  <c r="B2149" i="4" s="1"/>
  <c r="B2150" i="4" s="1"/>
  <c r="B2151" i="4" s="1"/>
  <c r="B2152" i="4" s="1"/>
  <c r="B2153" i="4" s="1"/>
  <c r="B2154" i="4" s="1"/>
  <c r="B2155" i="4" s="1"/>
  <c r="B2156" i="4" s="1"/>
  <c r="B2157" i="4" s="1"/>
  <c r="B2158" i="4" s="1"/>
  <c r="B2160" i="4" s="1"/>
  <c r="B2161" i="4" s="1"/>
  <c r="B2162" i="4" s="1"/>
  <c r="B2163" i="4" s="1"/>
  <c r="B2164" i="4" s="1"/>
  <c r="B2165" i="4" s="1"/>
  <c r="B2166" i="4" s="1"/>
  <c r="B2167" i="4" s="1"/>
  <c r="B2168" i="4" s="1"/>
  <c r="B2169" i="4" s="1"/>
  <c r="B2170" i="4" s="1"/>
  <c r="B2171" i="4" s="1"/>
  <c r="B2172" i="4" s="1"/>
  <c r="B2173" i="4" s="1"/>
  <c r="B2174" i="4" s="1"/>
  <c r="B2175" i="4" s="1"/>
  <c r="B2176" i="4" s="1"/>
  <c r="B2177" i="4" s="1"/>
  <c r="B2178" i="4" s="1"/>
  <c r="B2179" i="4" s="1"/>
  <c r="B2180" i="4" s="1"/>
  <c r="B2181" i="4" s="1"/>
  <c r="B2182" i="4" s="1"/>
  <c r="B2183" i="4" s="1"/>
  <c r="B2184" i="4" s="1"/>
  <c r="B2185" i="4" s="1"/>
  <c r="B2186" i="4" s="1"/>
  <c r="B2187" i="4" s="1"/>
  <c r="B2188" i="4" s="1"/>
  <c r="B2190" i="4" s="1"/>
  <c r="B2191" i="4" s="1"/>
  <c r="B2192" i="4" s="1"/>
  <c r="B2193" i="4" s="1"/>
  <c r="B2194" i="4" s="1"/>
  <c r="B2195" i="4" s="1"/>
  <c r="B2196" i="4" s="1"/>
  <c r="B2197" i="4" s="1"/>
  <c r="M983" i="44"/>
  <c r="P2222" i="3"/>
  <c r="Q2222" i="3" s="1"/>
  <c r="P2223" i="3"/>
  <c r="Q2223" i="3" s="1"/>
  <c r="P2224" i="3"/>
  <c r="Q2224" i="3" s="1"/>
  <c r="P2225" i="3"/>
  <c r="Q2225" i="3" s="1"/>
  <c r="P2226" i="3"/>
  <c r="Q2226" i="3" s="1"/>
  <c r="P2227" i="3"/>
  <c r="Q2227" i="3" s="1"/>
  <c r="P2228" i="3"/>
  <c r="Q2228" i="3" s="1"/>
  <c r="P2229" i="3"/>
  <c r="Q2229" i="3" s="1"/>
  <c r="P2230" i="3"/>
  <c r="Q2230" i="3" s="1"/>
  <c r="P2231" i="3"/>
  <c r="Q2231" i="3" s="1"/>
  <c r="P2232" i="3"/>
  <c r="Q2232" i="3" s="1"/>
  <c r="O1511" i="3"/>
  <c r="P1866" i="3"/>
  <c r="Q1866" i="3" s="1"/>
  <c r="P1867" i="3"/>
  <c r="Q1867" i="3" s="1"/>
  <c r="P1868" i="3"/>
  <c r="Q1868" i="3" s="1"/>
  <c r="P1869" i="3"/>
  <c r="Q1869" i="3" s="1"/>
  <c r="P1871" i="3"/>
  <c r="Q1871" i="3" s="1"/>
  <c r="P1870" i="3"/>
  <c r="Q1870" i="3" s="1"/>
  <c r="P1872" i="3"/>
  <c r="Q1872" i="3" s="1"/>
  <c r="P1873" i="3"/>
  <c r="Q1873" i="3" s="1"/>
  <c r="P1874" i="3"/>
  <c r="Q1874" i="3" s="1"/>
  <c r="P1875" i="3"/>
  <c r="Q1875" i="3" s="1"/>
  <c r="P1876" i="3"/>
  <c r="Q1876" i="3" s="1"/>
  <c r="P1206" i="3"/>
  <c r="Q1206" i="3" s="1"/>
  <c r="P1207" i="3"/>
  <c r="Q1207" i="3" s="1"/>
  <c r="P1208" i="3"/>
  <c r="Q1208" i="3" s="1"/>
  <c r="P1209" i="3"/>
  <c r="Q1209" i="3" s="1"/>
  <c r="P1210" i="3"/>
  <c r="Q1210" i="3" s="1"/>
  <c r="P1211" i="3"/>
  <c r="Q1211" i="3" s="1"/>
  <c r="P1212" i="3"/>
  <c r="Q1212" i="3" s="1"/>
  <c r="P1213" i="3"/>
  <c r="Q1213" i="3" s="1"/>
  <c r="P1214" i="3"/>
  <c r="Q1214" i="3" s="1"/>
  <c r="P1215" i="3"/>
  <c r="Q1215" i="3" s="1"/>
  <c r="P1216" i="3"/>
  <c r="Q1216" i="3" s="1"/>
  <c r="P1424" i="3"/>
  <c r="Q1424" i="3" s="1"/>
  <c r="P1425" i="3"/>
  <c r="Q1425" i="3" s="1"/>
  <c r="P1426" i="3"/>
  <c r="Q1426" i="3" s="1"/>
  <c r="P1428" i="3"/>
  <c r="Q1428" i="3" s="1"/>
  <c r="P1427" i="3"/>
  <c r="Q1427" i="3" s="1"/>
  <c r="P1429" i="3"/>
  <c r="Q1429" i="3" s="1"/>
  <c r="P1430" i="3"/>
  <c r="Q1430" i="3" s="1"/>
  <c r="P1431" i="3"/>
  <c r="Q1431" i="3" s="1"/>
  <c r="P1432" i="3"/>
  <c r="Q1432" i="3" s="1"/>
  <c r="P1433" i="3"/>
  <c r="Q1433" i="3" s="1"/>
  <c r="P1434" i="3"/>
  <c r="Q1434" i="3" s="1"/>
  <c r="P2233" i="3"/>
  <c r="Q2233" i="3" s="1"/>
  <c r="A841" i="4"/>
  <c r="J308" i="3"/>
  <c r="M1622" i="3"/>
  <c r="H1623" i="3"/>
  <c r="O869" i="44" l="1"/>
  <c r="O37" i="57"/>
  <c r="B2198" i="4"/>
  <c r="B2199" i="4" s="1"/>
  <c r="B2200" i="4" s="1"/>
  <c r="B2201" i="4" s="1"/>
  <c r="B2202" i="4" s="1"/>
  <c r="B2203" i="4" s="1"/>
  <c r="B2204" i="4" s="1"/>
  <c r="B2205" i="4" s="1"/>
  <c r="B2206" i="4" s="1"/>
  <c r="B2207" i="4" s="1"/>
  <c r="B2208" i="4" s="1"/>
  <c r="B2209" i="4" s="1"/>
  <c r="B2210" i="4" s="1"/>
  <c r="B2212" i="4" s="1"/>
  <c r="B2213" i="4" s="1"/>
  <c r="B2214" i="4" s="1"/>
  <c r="B2215" i="4" s="1"/>
  <c r="B2216" i="4" s="1"/>
  <c r="B2217" i="4" s="1"/>
  <c r="B2218" i="4" s="1"/>
  <c r="B2219" i="4" s="1"/>
  <c r="B2220" i="4" s="1"/>
  <c r="B2221" i="4" s="1"/>
  <c r="B2222" i="4" s="1"/>
  <c r="B2223" i="4" s="1"/>
  <c r="B2224" i="4" s="1"/>
  <c r="B2225" i="4" s="1"/>
  <c r="B2226" i="4" s="1"/>
  <c r="B2227" i="4" s="1"/>
  <c r="B2228" i="4" s="1"/>
  <c r="B2229" i="4" s="1"/>
  <c r="B2230" i="4" s="1"/>
  <c r="B2231" i="4" s="1"/>
  <c r="B2232" i="4" s="1"/>
  <c r="B2233" i="4" s="1"/>
  <c r="B2234" i="4" s="1"/>
  <c r="B2235" i="4" s="1"/>
  <c r="B2236" i="4" s="1"/>
  <c r="B2237" i="4" s="1"/>
  <c r="B2238" i="4" s="1"/>
  <c r="B2239" i="4" s="1"/>
  <c r="B2240" i="4" s="1"/>
  <c r="B2241" i="4" s="1"/>
  <c r="B2242" i="4" s="1"/>
  <c r="B2243" i="4" s="1"/>
  <c r="B2244" i="4" s="1"/>
  <c r="B2245" i="4" s="1"/>
  <c r="B2246" i="4" s="1"/>
  <c r="B2247" i="4" s="1"/>
  <c r="B2248" i="4" s="1"/>
  <c r="B2249" i="4" s="1"/>
  <c r="B2250" i="4" s="1"/>
  <c r="B2251" i="4" s="1"/>
  <c r="B2252" i="4" s="1"/>
  <c r="B2253" i="4" s="1"/>
  <c r="B2254" i="4" s="1"/>
  <c r="B2255" i="4" s="1"/>
  <c r="B2256" i="4" s="1"/>
  <c r="B2257" i="4" s="1"/>
  <c r="B2258" i="4" s="1"/>
  <c r="B2259" i="4" s="1"/>
  <c r="B2260" i="4" s="1"/>
  <c r="B2261" i="4" s="1"/>
  <c r="B2262" i="4" s="1"/>
  <c r="B2263" i="4" s="1"/>
  <c r="B2264" i="4" s="1"/>
  <c r="B2265" i="4" s="1"/>
  <c r="B2266" i="4" s="1"/>
  <c r="B2267" i="4" s="1"/>
  <c r="B2268" i="4" s="1"/>
  <c r="B2269" i="4" s="1"/>
  <c r="B2270" i="4" s="1"/>
  <c r="B2271" i="4" s="1"/>
  <c r="B2272" i="4" s="1"/>
  <c r="B2273" i="4" s="1"/>
  <c r="B2274" i="4" s="1"/>
  <c r="B2275" i="4" s="1"/>
  <c r="B2276" i="4" s="1"/>
  <c r="B2277" i="4" s="1"/>
  <c r="B2278" i="4" s="1"/>
  <c r="B2279" i="4" s="1"/>
  <c r="B2280" i="4" s="1"/>
  <c r="B2281" i="4" s="1"/>
  <c r="B2282" i="4" s="1"/>
  <c r="B2283" i="4" s="1"/>
  <c r="B2284" i="4" s="1"/>
  <c r="B2285" i="4" s="1"/>
  <c r="B2286" i="4" s="1"/>
  <c r="B2287" i="4" s="1"/>
  <c r="B2288" i="4" s="1"/>
  <c r="B2289" i="4" s="1"/>
  <c r="B2290" i="4" s="1"/>
  <c r="B2291" i="4" s="1"/>
  <c r="B2292" i="4" s="1"/>
  <c r="B2293" i="4" s="1"/>
  <c r="B2294" i="4" s="1"/>
  <c r="B2295" i="4" s="1"/>
  <c r="B2296" i="4" s="1"/>
  <c r="B2297" i="4" s="1"/>
  <c r="B2298" i="4" s="1"/>
  <c r="B2299" i="4" s="1"/>
  <c r="B2300" i="4" s="1"/>
  <c r="B2301" i="4" s="1"/>
  <c r="B2302" i="4" s="1"/>
  <c r="B2303" i="4" s="1"/>
  <c r="B2304" i="4" s="1"/>
  <c r="B2305" i="4" s="1"/>
  <c r="B2306" i="4" s="1"/>
  <c r="B2307" i="4" s="1"/>
  <c r="B2308" i="4" s="1"/>
  <c r="B2309" i="4" s="1"/>
  <c r="B2310" i="4" s="1"/>
  <c r="B2311" i="4" s="1"/>
  <c r="B2312" i="4" s="1"/>
  <c r="B2313" i="4" s="1"/>
  <c r="B2314" i="4" s="1"/>
  <c r="B2315" i="4" s="1"/>
  <c r="B2316" i="4" s="1"/>
  <c r="B2317" i="4" s="1"/>
  <c r="B2318" i="4" s="1"/>
  <c r="B2319" i="4" s="1"/>
  <c r="B2320" i="4" s="1"/>
  <c r="B2321" i="4" s="1"/>
  <c r="B2322" i="4" s="1"/>
  <c r="B2323" i="4" s="1"/>
  <c r="B2324" i="4" s="1"/>
  <c r="B2325" i="4" s="1"/>
  <c r="B2326" i="4" s="1"/>
  <c r="B2327" i="4" s="1"/>
  <c r="B2328" i="4" s="1"/>
  <c r="B2329" i="4" s="1"/>
  <c r="B2330" i="4" s="1"/>
  <c r="B2331" i="4" s="1"/>
  <c r="B2332" i="4" s="1"/>
  <c r="B2333" i="4" s="1"/>
  <c r="B2334" i="4" s="1"/>
  <c r="B2335" i="4" s="1"/>
  <c r="B2336" i="4" s="1"/>
  <c r="B2337" i="4" s="1"/>
  <c r="B2338" i="4" s="1"/>
  <c r="B2339" i="4" s="1"/>
  <c r="B2340" i="4" s="1"/>
  <c r="B2341" i="4" s="1"/>
  <c r="B2342" i="4" s="1"/>
  <c r="B2343" i="4" s="1"/>
  <c r="B2344" i="4" s="1"/>
  <c r="B2345" i="4" s="1"/>
  <c r="B2346" i="4" s="1"/>
  <c r="B2347" i="4" s="1"/>
  <c r="B2348" i="4" s="1"/>
  <c r="B2349" i="4" s="1"/>
  <c r="B2350" i="4" s="1"/>
  <c r="B2351" i="4" s="1"/>
  <c r="B2352" i="4" s="1"/>
  <c r="B2353" i="4" s="1"/>
  <c r="B2354" i="4" s="1"/>
  <c r="B2355" i="4" s="1"/>
  <c r="B2356" i="4" s="1"/>
  <c r="B2357" i="4" s="1"/>
  <c r="B2358" i="4" s="1"/>
  <c r="B2359" i="4" s="1"/>
  <c r="B2360" i="4" s="1"/>
  <c r="B2361" i="4" s="1"/>
  <c r="B2362" i="4" s="1"/>
  <c r="B2363" i="4" s="1"/>
  <c r="B2364" i="4" s="1"/>
  <c r="B2365" i="4" s="1"/>
  <c r="B2366" i="4" s="1"/>
  <c r="B2367" i="4" s="1"/>
  <c r="B2368" i="4" s="1"/>
  <c r="B2369" i="4" s="1"/>
  <c r="B2370" i="4" s="1"/>
  <c r="B2371" i="4" s="1"/>
  <c r="B2372" i="4" s="1"/>
  <c r="B2373" i="4" s="1"/>
  <c r="B2374" i="4" s="1"/>
  <c r="B2375" i="4" s="1"/>
  <c r="B2376" i="4" s="1"/>
  <c r="B2377" i="4" s="1"/>
  <c r="B2378" i="4" s="1"/>
  <c r="B2379" i="4" s="1"/>
  <c r="B2380" i="4" s="1"/>
  <c r="B2381" i="4" s="1"/>
  <c r="B2382" i="4" s="1"/>
  <c r="B2383" i="4" s="1"/>
  <c r="B2384" i="4" s="1"/>
  <c r="B2385" i="4" s="1"/>
  <c r="B2386" i="4" s="1"/>
  <c r="B2387" i="4" s="1"/>
  <c r="B2388" i="4" s="1"/>
  <c r="B2389" i="4" s="1"/>
  <c r="B2390" i="4" s="1"/>
  <c r="B2391" i="4" s="1"/>
  <c r="B2392" i="4" s="1"/>
  <c r="B2393" i="4" s="1"/>
  <c r="B2394" i="4" s="1"/>
  <c r="B2395" i="4" s="1"/>
  <c r="B2396" i="4" s="1"/>
  <c r="B2397" i="4" s="1"/>
  <c r="B2398" i="4" s="1"/>
  <c r="B2399" i="4" s="1"/>
  <c r="B2400" i="4" s="1"/>
  <c r="B2401" i="4" s="1"/>
  <c r="B2402" i="4" s="1"/>
  <c r="B2403" i="4" s="1"/>
  <c r="B2404" i="4" s="1"/>
  <c r="B2405" i="4" s="1"/>
  <c r="B2406" i="4" s="1"/>
  <c r="B2407" i="4" s="1"/>
  <c r="B2408" i="4" s="1"/>
  <c r="B2409" i="4" s="1"/>
  <c r="B2410" i="4" s="1"/>
  <c r="B2411" i="4" s="1"/>
  <c r="B2412" i="4" s="1"/>
  <c r="B2413" i="4" s="1"/>
  <c r="B2414" i="4" s="1"/>
  <c r="B2415" i="4" s="1"/>
  <c r="B2416" i="4" s="1"/>
  <c r="B2417" i="4" s="1"/>
  <c r="B2418" i="4" s="1"/>
  <c r="B2419" i="4" s="1"/>
  <c r="B2420" i="4" s="1"/>
  <c r="B2421" i="4" s="1"/>
  <c r="B2422" i="4" s="1"/>
  <c r="B2423" i="4" s="1"/>
  <c r="B2424" i="4" s="1"/>
  <c r="B2425" i="4" s="1"/>
  <c r="B2426" i="4" s="1"/>
  <c r="B2427" i="4" s="1"/>
  <c r="B2428" i="4" s="1"/>
  <c r="B2429" i="4" s="1"/>
  <c r="B2430" i="4" s="1"/>
  <c r="B2431" i="4" s="1"/>
  <c r="B2432" i="4" s="1"/>
  <c r="B2433" i="4" s="1"/>
  <c r="B2434" i="4" s="1"/>
  <c r="B2435" i="4" s="1"/>
  <c r="B2436" i="4" s="1"/>
  <c r="B2437" i="4" s="1"/>
  <c r="B2438" i="4" s="1"/>
  <c r="B2439" i="4" s="1"/>
  <c r="B2440" i="4" s="1"/>
  <c r="B2441" i="4" s="1"/>
  <c r="B2442" i="4" s="1"/>
  <c r="B2443" i="4" s="1"/>
  <c r="B2444" i="4" s="1"/>
  <c r="B2445" i="4" s="1"/>
  <c r="B2446" i="4" s="1"/>
  <c r="B2447" i="4" s="1"/>
  <c r="B2448" i="4" s="1"/>
  <c r="B2449" i="4" s="1"/>
  <c r="B2450" i="4" s="1"/>
  <c r="B2451" i="4" s="1"/>
  <c r="B2452" i="4" s="1"/>
  <c r="B2453" i="4" s="1"/>
  <c r="B2454" i="4" s="1"/>
  <c r="B2455" i="4" s="1"/>
  <c r="B2456" i="4" s="1"/>
  <c r="M984" i="44"/>
  <c r="O1512" i="3"/>
  <c r="M308" i="3"/>
  <c r="A842" i="4"/>
  <c r="M1623" i="3"/>
  <c r="H1624" i="3"/>
  <c r="O870" i="44" l="1"/>
  <c r="J777" i="3"/>
  <c r="M777" i="3" s="1"/>
  <c r="M985" i="44"/>
  <c r="O1513" i="3"/>
  <c r="A843" i="4"/>
  <c r="O272" i="3"/>
  <c r="M1624" i="3"/>
  <c r="H1625" i="3"/>
  <c r="O871" i="44" l="1"/>
  <c r="O872" i="44" s="1"/>
  <c r="M987" i="44"/>
  <c r="O1514" i="3"/>
  <c r="A844" i="4"/>
  <c r="M1625" i="3"/>
  <c r="H1626" i="3"/>
  <c r="O873" i="44" l="1"/>
  <c r="O874" i="44" s="1"/>
  <c r="O1515" i="3"/>
  <c r="A845" i="4"/>
  <c r="M1626" i="3"/>
  <c r="H1627" i="3"/>
  <c r="O1516" i="3" l="1"/>
  <c r="A846" i="4"/>
  <c r="M1627" i="3"/>
  <c r="H1628" i="3"/>
  <c r="O1517" i="3" l="1"/>
  <c r="A847" i="4"/>
  <c r="M1628" i="3"/>
  <c r="H1629" i="3"/>
  <c r="A848" i="4" l="1"/>
  <c r="O1518" i="3"/>
  <c r="M1629" i="3"/>
  <c r="H1630" i="3"/>
  <c r="O1519" i="3" l="1"/>
  <c r="A849" i="4"/>
  <c r="M1630" i="3"/>
  <c r="H1631" i="3"/>
  <c r="O1520" i="3" l="1"/>
  <c r="A850" i="4"/>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M1631" i="3"/>
  <c r="H1632" i="3"/>
  <c r="A1233" i="4" l="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J1899" i="3"/>
  <c r="M1899" i="3" s="1"/>
  <c r="J1900" i="3"/>
  <c r="M1900" i="3" s="1"/>
  <c r="J1901" i="3"/>
  <c r="M1901" i="3" s="1"/>
  <c r="J1902" i="3"/>
  <c r="M1902" i="3" s="1"/>
  <c r="J1903" i="3"/>
  <c r="M1903" i="3" s="1"/>
  <c r="J1904" i="3"/>
  <c r="M1904" i="3" s="1"/>
  <c r="O1521" i="3"/>
  <c r="J2417" i="3"/>
  <c r="J2453" i="3"/>
  <c r="J2418" i="3"/>
  <c r="M2418" i="3" s="1"/>
  <c r="J392" i="3"/>
  <c r="J92" i="3"/>
  <c r="M92" i="3" s="1"/>
  <c r="J2454" i="3"/>
  <c r="M2454" i="3" s="1"/>
  <c r="J91" i="3"/>
  <c r="J197" i="3"/>
  <c r="J856" i="3"/>
  <c r="J352" i="3"/>
  <c r="J2455" i="3"/>
  <c r="M2455" i="3" s="1"/>
  <c r="J393" i="3"/>
  <c r="M393" i="3" s="1"/>
  <c r="J2419" i="3"/>
  <c r="M2419" i="3" s="1"/>
  <c r="J428" i="3"/>
  <c r="J500" i="3"/>
  <c r="J740" i="3"/>
  <c r="J537" i="3"/>
  <c r="M537" i="3" s="1"/>
  <c r="J501" i="3"/>
  <c r="M501" i="3" s="1"/>
  <c r="J198" i="3"/>
  <c r="M198" i="3" s="1"/>
  <c r="J394" i="3"/>
  <c r="M394" i="3" s="1"/>
  <c r="J353" i="3"/>
  <c r="M353" i="3" s="1"/>
  <c r="J2456" i="3"/>
  <c r="M2456" i="3" s="1"/>
  <c r="J536" i="3"/>
  <c r="J2420" i="3"/>
  <c r="M2420" i="3" s="1"/>
  <c r="J857" i="3"/>
  <c r="M857" i="3" s="1"/>
  <c r="J429" i="3"/>
  <c r="M429" i="3" s="1"/>
  <c r="J741" i="3"/>
  <c r="M741" i="3" s="1"/>
  <c r="J2305" i="3"/>
  <c r="J897" i="3"/>
  <c r="J2421" i="3"/>
  <c r="M2421" i="3" s="1"/>
  <c r="J2098" i="3"/>
  <c r="J1578" i="3"/>
  <c r="J2457" i="3"/>
  <c r="M2457" i="3" s="1"/>
  <c r="J199" i="3"/>
  <c r="M199" i="3" s="1"/>
  <c r="J430" i="3"/>
  <c r="M430" i="3" s="1"/>
  <c r="J1466" i="3"/>
  <c r="J58" i="3"/>
  <c r="M58" i="3" s="1"/>
  <c r="J858" i="3"/>
  <c r="M858" i="3" s="1"/>
  <c r="J309" i="3"/>
  <c r="J2306" i="3"/>
  <c r="M2306" i="3" s="1"/>
  <c r="J742" i="3"/>
  <c r="M742" i="3" s="1"/>
  <c r="J354" i="3"/>
  <c r="M354" i="3" s="1"/>
  <c r="J56" i="3"/>
  <c r="J20" i="10"/>
  <c r="J2458" i="3"/>
  <c r="M2458" i="3" s="1"/>
  <c r="J817" i="3"/>
  <c r="J57" i="3"/>
  <c r="M57" i="3" s="1"/>
  <c r="J21" i="10"/>
  <c r="M21" i="10" s="1"/>
  <c r="J898" i="3"/>
  <c r="M898" i="3" s="1"/>
  <c r="J859" i="3"/>
  <c r="M859" i="3" s="1"/>
  <c r="J2307" i="3"/>
  <c r="M2307" i="3" s="1"/>
  <c r="J1579" i="3"/>
  <c r="M1579" i="3" s="1"/>
  <c r="J355" i="3"/>
  <c r="M355" i="3" s="1"/>
  <c r="J1681" i="3"/>
  <c r="J310" i="3"/>
  <c r="M310" i="3" s="1"/>
  <c r="J431" i="3"/>
  <c r="M431" i="3" s="1"/>
  <c r="J2459" i="3"/>
  <c r="M2459" i="3" s="1"/>
  <c r="J899" i="3"/>
  <c r="M899" i="3" s="1"/>
  <c r="J818" i="3"/>
  <c r="M818" i="3" s="1"/>
  <c r="J269" i="3"/>
  <c r="J627" i="3"/>
  <c r="J860" i="3"/>
  <c r="M860" i="3" s="1"/>
  <c r="J356" i="3"/>
  <c r="M356" i="3" s="1"/>
  <c r="J1682" i="3"/>
  <c r="M1682" i="3" s="1"/>
  <c r="J311" i="3"/>
  <c r="M311" i="3" s="1"/>
  <c r="J1683" i="3"/>
  <c r="M1683" i="3" s="1"/>
  <c r="J312" i="3"/>
  <c r="M312" i="3" s="1"/>
  <c r="J270" i="3"/>
  <c r="M270" i="3" s="1"/>
  <c r="J357" i="3"/>
  <c r="M357" i="3" s="1"/>
  <c r="J628" i="3"/>
  <c r="M628" i="3" s="1"/>
  <c r="J819" i="3"/>
  <c r="M819" i="3" s="1"/>
  <c r="J358" i="3"/>
  <c r="M358" i="3" s="1"/>
  <c r="J313" i="3"/>
  <c r="M313" i="3" s="1"/>
  <c r="J271" i="3"/>
  <c r="M271" i="3" s="1"/>
  <c r="J629" i="3"/>
  <c r="M629" i="3" s="1"/>
  <c r="J820" i="3"/>
  <c r="M820" i="3" s="1"/>
  <c r="J822" i="3"/>
  <c r="M822" i="3" s="1"/>
  <c r="J314" i="3"/>
  <c r="M314" i="3" s="1"/>
  <c r="J821" i="3"/>
  <c r="M821" i="3" s="1"/>
  <c r="J359" i="3"/>
  <c r="M359" i="3" s="1"/>
  <c r="J272" i="3"/>
  <c r="M272" i="3" s="1"/>
  <c r="J630" i="3"/>
  <c r="M630" i="3" s="1"/>
  <c r="J315" i="3"/>
  <c r="M315" i="3" s="1"/>
  <c r="J631" i="3"/>
  <c r="M631" i="3" s="1"/>
  <c r="J273" i="3"/>
  <c r="M273" i="3" s="1"/>
  <c r="J274" i="3"/>
  <c r="M274" i="3" s="1"/>
  <c r="J632" i="3"/>
  <c r="M632" i="3" s="1"/>
  <c r="J316" i="3"/>
  <c r="M316" i="3" s="1"/>
  <c r="M1632" i="3"/>
  <c r="H1633" i="3"/>
  <c r="J122" i="3" l="1"/>
  <c r="J633" i="3"/>
  <c r="M633" i="3" s="1"/>
  <c r="J1496" i="3"/>
  <c r="M1496" i="3" s="1"/>
  <c r="O1384" i="3" s="1"/>
  <c r="J2264" i="3"/>
  <c r="M2264" i="3" s="1"/>
  <c r="O2114" i="3" s="1"/>
  <c r="P783" i="3"/>
  <c r="Q783" i="3" s="1"/>
  <c r="P781" i="3"/>
  <c r="Q781" i="3" s="1"/>
  <c r="P784" i="3"/>
  <c r="Q784" i="3" s="1"/>
  <c r="P782" i="3"/>
  <c r="Q782" i="3" s="1"/>
  <c r="A1420" i="4"/>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O1754" i="3"/>
  <c r="O1755" i="3" s="1"/>
  <c r="O1756" i="3" s="1"/>
  <c r="O1757" i="3" s="1"/>
  <c r="O1758" i="3" s="1"/>
  <c r="O1759" i="3" s="1"/>
  <c r="P1759" i="3"/>
  <c r="Q1759" i="3" s="1"/>
  <c r="M627" i="3"/>
  <c r="O538" i="3" s="1"/>
  <c r="O539" i="3" s="1"/>
  <c r="O540" i="3" s="1"/>
  <c r="O541" i="3" s="1"/>
  <c r="O542" i="3" s="1"/>
  <c r="O543" i="3" s="1"/>
  <c r="M309" i="3"/>
  <c r="O273" i="3" s="1"/>
  <c r="O274" i="3" s="1"/>
  <c r="O275" i="3" s="1"/>
  <c r="O276" i="3" s="1"/>
  <c r="O277" i="3" s="1"/>
  <c r="O278" i="3" s="1"/>
  <c r="O279" i="3" s="1"/>
  <c r="O280" i="3" s="1"/>
  <c r="M536" i="3"/>
  <c r="M500" i="3"/>
  <c r="M91" i="3"/>
  <c r="M269" i="3"/>
  <c r="M20" i="10"/>
  <c r="J24" i="10" a="1"/>
  <c r="J24" i="10" s="1"/>
  <c r="M1466" i="3"/>
  <c r="M897" i="3"/>
  <c r="M428" i="3"/>
  <c r="M352" i="3"/>
  <c r="M2453" i="3"/>
  <c r="M56" i="3"/>
  <c r="M1578" i="3"/>
  <c r="M856" i="3"/>
  <c r="M2417" i="3"/>
  <c r="M1681" i="3"/>
  <c r="M817" i="3"/>
  <c r="M2098" i="3"/>
  <c r="M2305" i="3"/>
  <c r="M740" i="3"/>
  <c r="O662" i="3" s="1"/>
  <c r="O663" i="3" s="1"/>
  <c r="O664" i="3" s="1"/>
  <c r="M197" i="3"/>
  <c r="M392" i="3"/>
  <c r="M1633" i="3"/>
  <c r="H1634" i="3"/>
  <c r="O544" i="3" l="1"/>
  <c r="I27" i="55"/>
  <c r="J17" i="3"/>
  <c r="I24" i="55"/>
  <c r="I59" i="55"/>
  <c r="J231" i="3"/>
  <c r="I49" i="55"/>
  <c r="J704" i="3"/>
  <c r="I46" i="55"/>
  <c r="I38" i="55"/>
  <c r="I39" i="55"/>
  <c r="J124" i="3"/>
  <c r="I14" i="55"/>
  <c r="I15" i="55"/>
  <c r="I47" i="55"/>
  <c r="I58" i="55"/>
  <c r="J1499" i="3"/>
  <c r="M1499" i="3" s="1"/>
  <c r="I60" i="55"/>
  <c r="I45" i="55"/>
  <c r="I57" i="55"/>
  <c r="A1845" i="4"/>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P4" i="44"/>
  <c r="I29" i="55"/>
  <c r="I16" i="55"/>
  <c r="J2265" i="3"/>
  <c r="M2265" i="3" s="1"/>
  <c r="O2115" i="3" s="1"/>
  <c r="I21" i="55"/>
  <c r="J229" i="3"/>
  <c r="J1503" i="3"/>
  <c r="M1503" i="3" s="1"/>
  <c r="I30" i="55"/>
  <c r="I36" i="55"/>
  <c r="J2338" i="3"/>
  <c r="M2338" i="3" s="1"/>
  <c r="P2186" i="3" s="1"/>
  <c r="Q2186" i="3" s="1"/>
  <c r="J18" i="3"/>
  <c r="I48" i="55"/>
  <c r="J2339" i="3"/>
  <c r="M2339" i="3" s="1"/>
  <c r="P2187" i="3" s="1"/>
  <c r="Q2187" i="3" s="1"/>
  <c r="I54" i="55"/>
  <c r="J1502" i="3"/>
  <c r="M1502" i="3" s="1"/>
  <c r="J2343" i="3"/>
  <c r="M2343" i="3" s="1"/>
  <c r="P2191" i="3" s="1"/>
  <c r="Q2191" i="3" s="1"/>
  <c r="I33" i="55"/>
  <c r="I13" i="55"/>
  <c r="J1500" i="3"/>
  <c r="M1500" i="3" s="1"/>
  <c r="I56" i="55"/>
  <c r="I50" i="55"/>
  <c r="J703" i="3"/>
  <c r="I34" i="55"/>
  <c r="J123" i="3"/>
  <c r="I20" i="55"/>
  <c r="J1498" i="3"/>
  <c r="M1498" i="3" s="1"/>
  <c r="I51" i="55"/>
  <c r="J1213" i="3"/>
  <c r="M1213" i="3" s="1"/>
  <c r="O1099" i="3" s="1"/>
  <c r="I18" i="55"/>
  <c r="I35" i="55"/>
  <c r="I25" i="55"/>
  <c r="I53" i="55"/>
  <c r="J667" i="3"/>
  <c r="J2266" i="3"/>
  <c r="M2266" i="3" s="1"/>
  <c r="I55" i="55"/>
  <c r="I32" i="55"/>
  <c r="I22" i="55"/>
  <c r="J1214" i="3"/>
  <c r="M1214" i="3" s="1"/>
  <c r="P1100" i="3" s="1"/>
  <c r="Q1100" i="3" s="1"/>
  <c r="J2269" i="3"/>
  <c r="M2269" i="3" s="1"/>
  <c r="I31" i="55"/>
  <c r="J2270" i="3"/>
  <c r="M2270" i="3" s="1"/>
  <c r="I23" i="55"/>
  <c r="J705" i="3"/>
  <c r="I41" i="55"/>
  <c r="J1497" i="3"/>
  <c r="M1497" i="3" s="1"/>
  <c r="O1385" i="3" s="1"/>
  <c r="O780" i="3"/>
  <c r="O781" i="3" s="1"/>
  <c r="O782" i="3" s="1"/>
  <c r="O783" i="3" s="1"/>
  <c r="O784" i="3" s="1"/>
  <c r="P780" i="3"/>
  <c r="Q780" i="3" s="1"/>
  <c r="I17" i="55"/>
  <c r="J1216" i="3"/>
  <c r="M1216" i="3" s="1"/>
  <c r="P1102" i="3" s="1"/>
  <c r="Q1102" i="3" s="1"/>
  <c r="J1501" i="3"/>
  <c r="M1501" i="3" s="1"/>
  <c r="I42" i="55"/>
  <c r="J2340" i="3"/>
  <c r="M2340" i="3" s="1"/>
  <c r="P2188" i="3" s="1"/>
  <c r="Q2188" i="3" s="1"/>
  <c r="I52" i="55"/>
  <c r="J232" i="3"/>
  <c r="J1215" i="3"/>
  <c r="M1215" i="3" s="1"/>
  <c r="P1101" i="3" s="1"/>
  <c r="Q1101" i="3" s="1"/>
  <c r="J670" i="3"/>
  <c r="M670" i="3" s="1"/>
  <c r="J2268" i="3"/>
  <c r="M2268" i="3" s="1"/>
  <c r="J668" i="3"/>
  <c r="M668" i="3" s="1"/>
  <c r="J2271" i="3"/>
  <c r="M2271" i="3" s="1"/>
  <c r="J2341" i="3"/>
  <c r="M2341" i="3" s="1"/>
  <c r="P2189" i="3" s="1"/>
  <c r="Q2189" i="3" s="1"/>
  <c r="J2267" i="3"/>
  <c r="M2267" i="3" s="1"/>
  <c r="J19" i="3"/>
  <c r="J20" i="3"/>
  <c r="J125" i="3"/>
  <c r="J230" i="3"/>
  <c r="J1217" i="3"/>
  <c r="M1217" i="3" s="1"/>
  <c r="P1103" i="3" s="1"/>
  <c r="Q1103" i="3" s="1"/>
  <c r="P1756" i="3"/>
  <c r="Q1756" i="3" s="1"/>
  <c r="P1757" i="3"/>
  <c r="Q1757" i="3" s="1"/>
  <c r="P1754" i="3"/>
  <c r="Q1754" i="3" s="1"/>
  <c r="P1758" i="3"/>
  <c r="Q1758" i="3" s="1"/>
  <c r="P1755" i="3"/>
  <c r="Q1755" i="3" s="1"/>
  <c r="P276" i="3"/>
  <c r="Q276" i="3" s="1"/>
  <c r="P536" i="3"/>
  <c r="Q536" i="3" s="1"/>
  <c r="O20" i="10"/>
  <c r="O21" i="10" s="1"/>
  <c r="O159" i="3"/>
  <c r="O160" i="3" s="1"/>
  <c r="O161" i="3" s="1"/>
  <c r="O2273" i="3"/>
  <c r="O2274" i="3" s="1"/>
  <c r="O2275" i="3" s="1"/>
  <c r="O2276" i="3" s="1"/>
  <c r="O2277" i="3" s="1"/>
  <c r="O1569" i="3"/>
  <c r="O1570" i="3" s="1"/>
  <c r="O1571" i="3" s="1"/>
  <c r="P460" i="3"/>
  <c r="Q460" i="3" s="1"/>
  <c r="P461" i="3"/>
  <c r="Q461" i="3" s="1"/>
  <c r="O462" i="3"/>
  <c r="O463" i="3" s="1"/>
  <c r="P462" i="3"/>
  <c r="Q462" i="3" s="1"/>
  <c r="P463" i="3"/>
  <c r="Q463" i="3" s="1"/>
  <c r="J25" i="10"/>
  <c r="O1945" i="3"/>
  <c r="O1470" i="3"/>
  <c r="O1471" i="3" s="1"/>
  <c r="O390" i="3"/>
  <c r="O391" i="3" s="1"/>
  <c r="O392" i="3" s="1"/>
  <c r="O393" i="3" s="1"/>
  <c r="P390" i="3"/>
  <c r="Q390" i="3" s="1"/>
  <c r="O821" i="3"/>
  <c r="O822" i="3" s="1"/>
  <c r="O823" i="3" s="1"/>
  <c r="O231" i="3"/>
  <c r="O232" i="3" s="1"/>
  <c r="O233" i="3" s="1"/>
  <c r="O234" i="3" s="1"/>
  <c r="O235" i="3" s="1"/>
  <c r="O236" i="3" s="1"/>
  <c r="O354" i="3"/>
  <c r="O355" i="3" s="1"/>
  <c r="O356" i="3" s="1"/>
  <c r="P354" i="3"/>
  <c r="Q354" i="3" s="1"/>
  <c r="O56" i="3"/>
  <c r="O57" i="3" s="1"/>
  <c r="O58" i="3" s="1"/>
  <c r="O91" i="3"/>
  <c r="O92" i="3" s="1"/>
  <c r="O498" i="3"/>
  <c r="O499" i="3" s="1"/>
  <c r="O314" i="3"/>
  <c r="O315" i="3" s="1"/>
  <c r="O316" i="3" s="1"/>
  <c r="O317" i="3" s="1"/>
  <c r="O318" i="3" s="1"/>
  <c r="O319" i="3" s="1"/>
  <c r="O320" i="3" s="1"/>
  <c r="O321" i="3" s="1"/>
  <c r="P314" i="3"/>
  <c r="Q314" i="3" s="1"/>
  <c r="O2153" i="3"/>
  <c r="O2154" i="3" s="1"/>
  <c r="O2155" i="3" s="1"/>
  <c r="P2153" i="3"/>
  <c r="Q2153" i="3" s="1"/>
  <c r="O741" i="3"/>
  <c r="O742" i="3" s="1"/>
  <c r="O743" i="3" s="1"/>
  <c r="O744" i="3" s="1"/>
  <c r="O745" i="3" s="1"/>
  <c r="O746" i="3" s="1"/>
  <c r="O701" i="3"/>
  <c r="O2309" i="3"/>
  <c r="O2310" i="3" s="1"/>
  <c r="O2311" i="3" s="1"/>
  <c r="O2312" i="3" s="1"/>
  <c r="O2313" i="3" s="1"/>
  <c r="O2314" i="3" s="1"/>
  <c r="O2315" i="3" s="1"/>
  <c r="P1353" i="3"/>
  <c r="Q1353" i="3" s="1"/>
  <c r="O1353" i="3"/>
  <c r="P2273" i="3"/>
  <c r="Q2273" i="3" s="1"/>
  <c r="M1634" i="3"/>
  <c r="H1635" i="3"/>
  <c r="P1099" i="3" l="1"/>
  <c r="Q1099" i="3" s="1"/>
  <c r="O2186" i="3"/>
  <c r="O2187" i="3" s="1"/>
  <c r="O2188" i="3" s="1"/>
  <c r="O2189" i="3" s="1"/>
  <c r="O1386" i="3"/>
  <c r="O1387" i="3" s="1"/>
  <c r="O1388" i="3" s="1"/>
  <c r="O1389" i="3" s="1"/>
  <c r="O1390" i="3" s="1"/>
  <c r="O1391" i="3" s="1"/>
  <c r="O2116" i="3"/>
  <c r="O2117" i="3" s="1"/>
  <c r="O2118" i="3" s="1"/>
  <c r="O2119" i="3" s="1"/>
  <c r="O2120" i="3" s="1"/>
  <c r="O2121" i="3" s="1"/>
  <c r="O1100" i="3"/>
  <c r="O1101" i="3" s="1"/>
  <c r="O1102" i="3" s="1"/>
  <c r="O1103" i="3" s="1"/>
  <c r="J234" i="3"/>
  <c r="J2342" i="3"/>
  <c r="M2342" i="3" s="1"/>
  <c r="P2190" i="3" s="1"/>
  <c r="Q2190" i="3" s="1"/>
  <c r="J233" i="3"/>
  <c r="J779" i="3"/>
  <c r="M779" i="3" s="1"/>
  <c r="P703" i="3" s="1"/>
  <c r="Q703" i="3" s="1"/>
  <c r="J778" i="3"/>
  <c r="M778" i="3" s="1"/>
  <c r="P702" i="3" s="1"/>
  <c r="Q702" i="3" s="1"/>
  <c r="I28" i="55"/>
  <c r="I43" i="55"/>
  <c r="I26" i="55"/>
  <c r="J706" i="3"/>
  <c r="J669" i="3"/>
  <c r="M669" i="3" s="1"/>
  <c r="P91" i="3"/>
  <c r="Q91" i="3" s="1"/>
  <c r="P278" i="3"/>
  <c r="Q278" i="3" s="1"/>
  <c r="P275" i="3"/>
  <c r="Q275" i="3" s="1"/>
  <c r="P269" i="3"/>
  <c r="Q269" i="3" s="1"/>
  <c r="P274" i="3"/>
  <c r="Q274" i="3" s="1"/>
  <c r="P273" i="3"/>
  <c r="Q273" i="3" s="1"/>
  <c r="P271" i="3"/>
  <c r="Q271" i="3" s="1"/>
  <c r="P534" i="3"/>
  <c r="Q534" i="3" s="1"/>
  <c r="P270" i="3"/>
  <c r="Q270" i="3" s="1"/>
  <c r="P277" i="3"/>
  <c r="Q277" i="3" s="1"/>
  <c r="P279" i="3"/>
  <c r="Q279" i="3" s="1"/>
  <c r="P544" i="3"/>
  <c r="Q544" i="3" s="1"/>
  <c r="P272" i="3"/>
  <c r="Q272" i="3" s="1"/>
  <c r="P280" i="3"/>
  <c r="Q280" i="3" s="1"/>
  <c r="P541" i="3"/>
  <c r="Q541" i="3" s="1"/>
  <c r="P542" i="3"/>
  <c r="Q542" i="3" s="1"/>
  <c r="P535" i="3"/>
  <c r="Q535" i="3" s="1"/>
  <c r="P543" i="3"/>
  <c r="Q543" i="3" s="1"/>
  <c r="P539" i="3"/>
  <c r="Q539" i="3" s="1"/>
  <c r="P537" i="3"/>
  <c r="Q537" i="3" s="1"/>
  <c r="P533" i="3"/>
  <c r="Q533" i="3" s="1"/>
  <c r="P540" i="3"/>
  <c r="Q540" i="3" s="1"/>
  <c r="P538" i="3"/>
  <c r="Q538" i="3" s="1"/>
  <c r="P16" i="10"/>
  <c r="Q16" i="10" s="1"/>
  <c r="P17" i="10"/>
  <c r="Q17" i="10" s="1"/>
  <c r="P18" i="10"/>
  <c r="Q18" i="10" s="1"/>
  <c r="P19" i="10"/>
  <c r="Q19" i="10" s="1"/>
  <c r="P21" i="10"/>
  <c r="Q21" i="10" s="1"/>
  <c r="P20" i="10"/>
  <c r="Q20" i="10" s="1"/>
  <c r="P495" i="3"/>
  <c r="Q495" i="3" s="1"/>
  <c r="P496" i="3"/>
  <c r="Q496" i="3" s="1"/>
  <c r="P497" i="3"/>
  <c r="Q497" i="3" s="1"/>
  <c r="P499" i="3"/>
  <c r="Q499" i="3" s="1"/>
  <c r="P698" i="3"/>
  <c r="Q698" i="3" s="1"/>
  <c r="P699" i="3"/>
  <c r="Q699" i="3" s="1"/>
  <c r="P700" i="3"/>
  <c r="Q700" i="3" s="1"/>
  <c r="P156" i="3"/>
  <c r="Q156" i="3" s="1"/>
  <c r="P157" i="3"/>
  <c r="Q157" i="3" s="1"/>
  <c r="P158" i="3"/>
  <c r="J1220" i="3" s="1"/>
  <c r="P161" i="3"/>
  <c r="Q161" i="3" s="1"/>
  <c r="P160" i="3"/>
  <c r="Q160" i="3" s="1"/>
  <c r="P89" i="3"/>
  <c r="Q89" i="3" s="1"/>
  <c r="P90" i="3"/>
  <c r="Q90" i="3" s="1"/>
  <c r="P92" i="3"/>
  <c r="Q92" i="3" s="1"/>
  <c r="P353" i="3"/>
  <c r="Q353" i="3" s="1"/>
  <c r="P355" i="3"/>
  <c r="Q355" i="3" s="1"/>
  <c r="P356" i="3"/>
  <c r="Q356" i="3" s="1"/>
  <c r="P1466" i="3"/>
  <c r="Q1466" i="3" s="1"/>
  <c r="P1467" i="3"/>
  <c r="Q1467" i="3" s="1"/>
  <c r="P1468" i="3"/>
  <c r="Q1468" i="3" s="1"/>
  <c r="P1469" i="3"/>
  <c r="Q1469" i="3" s="1"/>
  <c r="P1471" i="3"/>
  <c r="Q1471" i="3" s="1"/>
  <c r="P1940" i="3"/>
  <c r="Q1940" i="3" s="1"/>
  <c r="P1941" i="3"/>
  <c r="Q1941" i="3" s="1"/>
  <c r="P1942" i="3"/>
  <c r="Q1942" i="3" s="1"/>
  <c r="P1943" i="3"/>
  <c r="Q1943" i="3" s="1"/>
  <c r="P1944" i="3"/>
  <c r="Q1944" i="3" s="1"/>
  <c r="P1945" i="3"/>
  <c r="Q1945" i="3" s="1"/>
  <c r="P498" i="3"/>
  <c r="Q498" i="3" s="1"/>
  <c r="P1470" i="3"/>
  <c r="Q1470" i="3" s="1"/>
  <c r="P2152" i="3"/>
  <c r="Q2152" i="3" s="1"/>
  <c r="P2155" i="3"/>
  <c r="Q2155" i="3" s="1"/>
  <c r="P2154" i="3"/>
  <c r="Q2154" i="3" s="1"/>
  <c r="P1564" i="3"/>
  <c r="Q1564" i="3" s="1"/>
  <c r="P1565" i="3"/>
  <c r="Q1565" i="3" s="1"/>
  <c r="P1566" i="3"/>
  <c r="Q1566" i="3" s="1"/>
  <c r="P1567" i="3"/>
  <c r="Q1567" i="3" s="1"/>
  <c r="P1568" i="3"/>
  <c r="Q1568" i="3" s="1"/>
  <c r="P1570" i="3"/>
  <c r="Q1570" i="3" s="1"/>
  <c r="P1571" i="3"/>
  <c r="Q1571" i="3" s="1"/>
  <c r="P701" i="3"/>
  <c r="Q701" i="3" s="1"/>
  <c r="P159" i="3"/>
  <c r="Q159" i="3" s="1"/>
  <c r="P2308" i="3"/>
  <c r="Q2308" i="3" s="1"/>
  <c r="P2312" i="3"/>
  <c r="Q2312" i="3" s="1"/>
  <c r="P2313" i="3"/>
  <c r="Q2313" i="3" s="1"/>
  <c r="P2314" i="3"/>
  <c r="Q2314" i="3" s="1"/>
  <c r="P2311" i="3"/>
  <c r="Q2311" i="3" s="1"/>
  <c r="P2310" i="3"/>
  <c r="Q2310" i="3" s="1"/>
  <c r="P2315" i="3"/>
  <c r="Q2315" i="3" s="1"/>
  <c r="P225" i="3"/>
  <c r="Q225" i="3" s="1"/>
  <c r="P226" i="3"/>
  <c r="Q226" i="3" s="1"/>
  <c r="P227" i="3"/>
  <c r="Q227" i="3" s="1"/>
  <c r="P228" i="3"/>
  <c r="Q228" i="3" s="1"/>
  <c r="P229" i="3"/>
  <c r="Q229" i="3" s="1"/>
  <c r="P230" i="3"/>
  <c r="Q230" i="3" s="1"/>
  <c r="P234" i="3"/>
  <c r="Q234" i="3" s="1"/>
  <c r="P233" i="3"/>
  <c r="Q233" i="3" s="1"/>
  <c r="P236" i="3"/>
  <c r="Q236" i="3" s="1"/>
  <c r="P235" i="3"/>
  <c r="Q235" i="3" s="1"/>
  <c r="P232" i="3"/>
  <c r="Q232" i="3" s="1"/>
  <c r="P388" i="3"/>
  <c r="Q388" i="3" s="1"/>
  <c r="P389" i="3"/>
  <c r="Q389" i="3" s="1"/>
  <c r="P392" i="3"/>
  <c r="Q392" i="3" s="1"/>
  <c r="P393" i="3"/>
  <c r="Q393" i="3" s="1"/>
  <c r="P391" i="3"/>
  <c r="Q391" i="3" s="1"/>
  <c r="P2309" i="3"/>
  <c r="Q2309" i="3" s="1"/>
  <c r="P1569" i="3"/>
  <c r="Q1569" i="3" s="1"/>
  <c r="P1347" i="3"/>
  <c r="Q1347" i="3" s="1"/>
  <c r="P1348" i="3"/>
  <c r="Q1348" i="3" s="1"/>
  <c r="P1349" i="3"/>
  <c r="Q1349" i="3" s="1"/>
  <c r="P1350" i="3"/>
  <c r="Q1350" i="3" s="1"/>
  <c r="P1351" i="3"/>
  <c r="Q1351" i="3" s="1"/>
  <c r="P1352" i="3"/>
  <c r="Q1352" i="3" s="1"/>
  <c r="P53" i="3"/>
  <c r="Q53" i="3" s="1"/>
  <c r="P54" i="3"/>
  <c r="Q54" i="3" s="1"/>
  <c r="P55" i="3"/>
  <c r="Q55" i="3" s="1"/>
  <c r="P57" i="3"/>
  <c r="Q57" i="3" s="1"/>
  <c r="P58" i="3"/>
  <c r="Q58" i="3" s="1"/>
  <c r="P735" i="3"/>
  <c r="Q735" i="3" s="1"/>
  <c r="P737" i="3"/>
  <c r="Q737" i="3" s="1"/>
  <c r="P736" i="3"/>
  <c r="Q736" i="3" s="1"/>
  <c r="P738" i="3"/>
  <c r="Q738" i="3" s="1"/>
  <c r="P739" i="3"/>
  <c r="Q739" i="3" s="1"/>
  <c r="P740" i="3"/>
  <c r="Q740" i="3" s="1"/>
  <c r="P743" i="3"/>
  <c r="Q743" i="3" s="1"/>
  <c r="P745" i="3"/>
  <c r="Q745" i="3" s="1"/>
  <c r="P742" i="3"/>
  <c r="Q742" i="3" s="1"/>
  <c r="P744" i="3"/>
  <c r="Q744" i="3" s="1"/>
  <c r="P746" i="3"/>
  <c r="Q746" i="3" s="1"/>
  <c r="P2272" i="3"/>
  <c r="Q2272" i="3" s="1"/>
  <c r="P2276" i="3"/>
  <c r="Q2276" i="3" s="1"/>
  <c r="P2275" i="3"/>
  <c r="Q2275" i="3" s="1"/>
  <c r="P2277" i="3"/>
  <c r="Q2277" i="3" s="1"/>
  <c r="P2274" i="3"/>
  <c r="Q2274" i="3" s="1"/>
  <c r="P311" i="3"/>
  <c r="Q311" i="3" s="1"/>
  <c r="P310" i="3"/>
  <c r="Q310" i="3" s="1"/>
  <c r="P312" i="3"/>
  <c r="Q312" i="3" s="1"/>
  <c r="P313" i="3"/>
  <c r="Q313" i="3" s="1"/>
  <c r="P319" i="3"/>
  <c r="Q319" i="3" s="1"/>
  <c r="P317" i="3"/>
  <c r="Q317" i="3" s="1"/>
  <c r="P321" i="3"/>
  <c r="Q321" i="3" s="1"/>
  <c r="P318" i="3"/>
  <c r="Q318" i="3" s="1"/>
  <c r="P316" i="3"/>
  <c r="Q316" i="3" s="1"/>
  <c r="P315" i="3"/>
  <c r="Q315" i="3" s="1"/>
  <c r="P320" i="3"/>
  <c r="Q320" i="3" s="1"/>
  <c r="P231" i="3"/>
  <c r="J1288" i="3" s="1"/>
  <c r="P56" i="3"/>
  <c r="Q56" i="3" s="1"/>
  <c r="P741" i="3"/>
  <c r="Q741" i="3" s="1"/>
  <c r="P819" i="3"/>
  <c r="Q819" i="3" s="1"/>
  <c r="P816" i="3"/>
  <c r="Q816" i="3" s="1"/>
  <c r="P822" i="3"/>
  <c r="Q822" i="3" s="1"/>
  <c r="P818" i="3"/>
  <c r="Q818" i="3" s="1"/>
  <c r="P821" i="3"/>
  <c r="Q821" i="3" s="1"/>
  <c r="P817" i="3"/>
  <c r="Q817" i="3" s="1"/>
  <c r="P820" i="3"/>
  <c r="Q820" i="3" s="1"/>
  <c r="P823" i="3"/>
  <c r="Q823" i="3" s="1"/>
  <c r="M1635" i="3"/>
  <c r="H1636" i="3"/>
  <c r="J2545" i="3" l="1"/>
  <c r="J1834" i="3"/>
  <c r="J711" i="3"/>
  <c r="J1757" i="3"/>
  <c r="J2274" i="3"/>
  <c r="J982" i="3"/>
  <c r="J940" i="3"/>
  <c r="J1749" i="3"/>
  <c r="M1749" i="3" s="1"/>
  <c r="J976" i="3"/>
  <c r="M976" i="3" s="1"/>
  <c r="J969" i="3"/>
  <c r="M969" i="3" s="1"/>
  <c r="J931" i="3"/>
  <c r="M931" i="3" s="1"/>
  <c r="J1017" i="3"/>
  <c r="M1017" i="3" s="1"/>
  <c r="J1100" i="3"/>
  <c r="M1100" i="3" s="1"/>
  <c r="J576" i="3"/>
  <c r="M576" i="3" s="1"/>
  <c r="J584" i="3"/>
  <c r="M584" i="3" s="1"/>
  <c r="J592" i="3"/>
  <c r="M592" i="3" s="1"/>
  <c r="J158" i="3"/>
  <c r="M158" i="3" s="1"/>
  <c r="J2536" i="3"/>
  <c r="M2536" i="3" s="1"/>
  <c r="J1830" i="3"/>
  <c r="M1830" i="3" s="1"/>
  <c r="J1105" i="3"/>
  <c r="J972" i="3"/>
  <c r="M972" i="3" s="1"/>
  <c r="J977" i="3"/>
  <c r="M977" i="3" s="1"/>
  <c r="J971" i="3"/>
  <c r="M971" i="3" s="1"/>
  <c r="J1012" i="3"/>
  <c r="M1012" i="3" s="1"/>
  <c r="J1018" i="3"/>
  <c r="M1018" i="3" s="1"/>
  <c r="J577" i="3"/>
  <c r="M577" i="3" s="1"/>
  <c r="J585" i="3"/>
  <c r="M585" i="3" s="1"/>
  <c r="J159" i="3"/>
  <c r="M159" i="3" s="1"/>
  <c r="J2535" i="3"/>
  <c r="M2535" i="3" s="1"/>
  <c r="J1831" i="3"/>
  <c r="M1831" i="3" s="1"/>
  <c r="J1750" i="3"/>
  <c r="M1750" i="3" s="1"/>
  <c r="J978" i="3"/>
  <c r="M978" i="3" s="1"/>
  <c r="J1013" i="3"/>
  <c r="M1013" i="3" s="1"/>
  <c r="J1019" i="3"/>
  <c r="M1019" i="3" s="1"/>
  <c r="J578" i="3"/>
  <c r="M578" i="3" s="1"/>
  <c r="J586" i="3"/>
  <c r="M586" i="3" s="1"/>
  <c r="J570" i="3"/>
  <c r="M570" i="3" s="1"/>
  <c r="J2540" i="3"/>
  <c r="M2540" i="3" s="1"/>
  <c r="P2396" i="3" s="1"/>
  <c r="Q2396" i="3" s="1"/>
  <c r="J2537" i="3"/>
  <c r="M2537" i="3" s="1"/>
  <c r="P2393" i="3" s="1"/>
  <c r="Q2393" i="3" s="1"/>
  <c r="J932" i="3"/>
  <c r="M932" i="3" s="1"/>
  <c r="J1095" i="3"/>
  <c r="M1095" i="3" s="1"/>
  <c r="J579" i="3"/>
  <c r="M579" i="3" s="1"/>
  <c r="J587" i="3"/>
  <c r="M587" i="3" s="1"/>
  <c r="J571" i="3"/>
  <c r="M571" i="3" s="1"/>
  <c r="J1824" i="3"/>
  <c r="M1824" i="3" s="1"/>
  <c r="J973" i="3"/>
  <c r="M973" i="3" s="1"/>
  <c r="J979" i="3"/>
  <c r="M979" i="3" s="1"/>
  <c r="J1020" i="3"/>
  <c r="M1020" i="3" s="1"/>
  <c r="J1825" i="3"/>
  <c r="M1825" i="3" s="1"/>
  <c r="J1751" i="3"/>
  <c r="M1751" i="3" s="1"/>
  <c r="J933" i="3"/>
  <c r="M933" i="3" s="1"/>
  <c r="J1021" i="3"/>
  <c r="M1021" i="3" s="1"/>
  <c r="J1096" i="3"/>
  <c r="M1096" i="3" s="1"/>
  <c r="J580" i="3"/>
  <c r="M580" i="3" s="1"/>
  <c r="J588" i="3"/>
  <c r="M588" i="3" s="1"/>
  <c r="J572" i="3"/>
  <c r="M572" i="3" s="1"/>
  <c r="J2541" i="3"/>
  <c r="M2541" i="3" s="1"/>
  <c r="P2397" i="3" s="1"/>
  <c r="Q2397" i="3" s="1"/>
  <c r="J2538" i="3"/>
  <c r="M2538" i="3" s="1"/>
  <c r="P2394" i="3" s="1"/>
  <c r="Q2394" i="3" s="1"/>
  <c r="J974" i="3"/>
  <c r="M974" i="3" s="1"/>
  <c r="J1014" i="3"/>
  <c r="M1014" i="3" s="1"/>
  <c r="J1022" i="3"/>
  <c r="M1022" i="3" s="1"/>
  <c r="J1097" i="3"/>
  <c r="M1097" i="3" s="1"/>
  <c r="J569" i="3"/>
  <c r="M569" i="3" s="1"/>
  <c r="J581" i="3"/>
  <c r="M581" i="3" s="1"/>
  <c r="J589" i="3"/>
  <c r="M589" i="3" s="1"/>
  <c r="J573" i="3"/>
  <c r="M573" i="3" s="1"/>
  <c r="J1826" i="3"/>
  <c r="M1826" i="3" s="1"/>
  <c r="J2539" i="3"/>
  <c r="M2539" i="3" s="1"/>
  <c r="P2395" i="3" s="1"/>
  <c r="Q2395" i="3" s="1"/>
  <c r="J1747" i="3"/>
  <c r="M1747" i="3" s="1"/>
  <c r="J1752" i="3"/>
  <c r="M1752" i="3" s="1"/>
  <c r="J1011" i="3"/>
  <c r="M1011" i="3" s="1"/>
  <c r="J1015" i="3"/>
  <c r="M1015" i="3" s="1"/>
  <c r="J1098" i="3"/>
  <c r="M1098" i="3" s="1"/>
  <c r="J574" i="3"/>
  <c r="M574" i="3" s="1"/>
  <c r="J582" i="3"/>
  <c r="M582" i="3" s="1"/>
  <c r="J590" i="3"/>
  <c r="M590" i="3" s="1"/>
  <c r="J156" i="3"/>
  <c r="M156" i="3" s="1"/>
  <c r="J2542" i="3"/>
  <c r="M2542" i="3" s="1"/>
  <c r="P2398" i="3" s="1"/>
  <c r="Q2398" i="3" s="1"/>
  <c r="J1828" i="3"/>
  <c r="M1828" i="3" s="1"/>
  <c r="J1748" i="3"/>
  <c r="M1748" i="3" s="1"/>
  <c r="J968" i="3"/>
  <c r="M968" i="3" s="1"/>
  <c r="J975" i="3"/>
  <c r="M975" i="3" s="1"/>
  <c r="J970" i="3"/>
  <c r="M970" i="3" s="1"/>
  <c r="J930" i="3"/>
  <c r="M930" i="3" s="1"/>
  <c r="J1016" i="3"/>
  <c r="M1016" i="3" s="1"/>
  <c r="J1099" i="3"/>
  <c r="M1099" i="3" s="1"/>
  <c r="J575" i="3"/>
  <c r="M575" i="3" s="1"/>
  <c r="J583" i="3"/>
  <c r="M583" i="3" s="1"/>
  <c r="J591" i="3"/>
  <c r="M591" i="3" s="1"/>
  <c r="J157" i="3"/>
  <c r="M157" i="3" s="1"/>
  <c r="J1827" i="3"/>
  <c r="M1827" i="3" s="1"/>
  <c r="J1829" i="3"/>
  <c r="M1829" i="3" s="1"/>
  <c r="O702" i="3"/>
  <c r="O703" i="3" s="1"/>
  <c r="O2190" i="3"/>
  <c r="O2191" i="3" s="1"/>
  <c r="Q231" i="3"/>
  <c r="Q158" i="3"/>
  <c r="J26" i="10"/>
  <c r="M1636" i="3"/>
  <c r="H1637" i="3"/>
  <c r="P900" i="3" l="1"/>
  <c r="P903" i="3" s="1"/>
  <c r="Q903" i="3" s="1"/>
  <c r="O900" i="3"/>
  <c r="O901" i="3" s="1"/>
  <c r="O902" i="3" s="1"/>
  <c r="O903" i="3" s="1"/>
  <c r="O904" i="3" s="1"/>
  <c r="O905" i="3" s="1"/>
  <c r="O906" i="3" s="1"/>
  <c r="P2392" i="3"/>
  <c r="Q2392" i="3" s="1"/>
  <c r="O1676" i="3"/>
  <c r="O1677" i="3" s="1"/>
  <c r="O1678" i="3" s="1"/>
  <c r="O1679" i="3" s="1"/>
  <c r="O1680" i="3" s="1"/>
  <c r="O1681" i="3" s="1"/>
  <c r="O1682" i="3" s="1"/>
  <c r="P1676" i="3"/>
  <c r="P1677" i="3" s="1"/>
  <c r="Q1677" i="3" s="1"/>
  <c r="P2391" i="3"/>
  <c r="Q2391" i="3" s="1"/>
  <c r="O2391" i="3"/>
  <c r="O2392" i="3" s="1"/>
  <c r="O2393" i="3" s="1"/>
  <c r="O2394" i="3" s="1"/>
  <c r="O2395" i="3" s="1"/>
  <c r="O2396" i="3" s="1"/>
  <c r="O2397" i="3" s="1"/>
  <c r="O2398" i="3" s="1"/>
  <c r="O2399" i="3" s="1"/>
  <c r="O2400" i="3" s="1"/>
  <c r="O2401" i="3" s="1"/>
  <c r="O2402" i="3" s="1"/>
  <c r="O1522" i="3"/>
  <c r="M1637" i="3"/>
  <c r="H1638" i="3"/>
  <c r="P1682" i="3" l="1"/>
  <c r="Q1682" i="3" s="1"/>
  <c r="P1681" i="3"/>
  <c r="Q1681" i="3" s="1"/>
  <c r="P1678" i="3"/>
  <c r="Q1678" i="3" s="1"/>
  <c r="P1679" i="3"/>
  <c r="Q1679" i="3" s="1"/>
  <c r="P906" i="3"/>
  <c r="Q906" i="3" s="1"/>
  <c r="P905" i="3"/>
  <c r="Q905" i="3" s="1"/>
  <c r="P904" i="3"/>
  <c r="Q904" i="3" s="1"/>
  <c r="P901" i="3"/>
  <c r="Q901" i="3" s="1"/>
  <c r="P1680" i="3"/>
  <c r="Q1680" i="3" s="1"/>
  <c r="P902" i="3"/>
  <c r="Q902" i="3" s="1"/>
  <c r="O1523" i="3"/>
  <c r="M1638" i="3"/>
  <c r="H1639" i="3"/>
  <c r="O1524" i="3" l="1"/>
  <c r="M1639" i="3"/>
  <c r="H1640" i="3"/>
  <c r="O1525" i="3" l="1"/>
  <c r="M1640" i="3"/>
  <c r="H1641" i="3"/>
  <c r="O1526" i="3" l="1"/>
  <c r="M1641" i="3"/>
  <c r="H1642" i="3"/>
  <c r="O1527" i="3" l="1"/>
  <c r="M1642" i="3"/>
  <c r="H1643" i="3"/>
  <c r="O1528" i="3" l="1"/>
  <c r="M1643" i="3"/>
  <c r="H1644" i="3"/>
  <c r="O1529" i="3" l="1"/>
  <c r="M1644" i="3"/>
  <c r="H1645" i="3"/>
  <c r="J1604" i="3" s="1" a="1"/>
  <c r="J1604" i="3" s="1"/>
  <c r="J14" i="18" l="1"/>
  <c r="O1530" i="3"/>
  <c r="M1645" i="3"/>
  <c r="J1602" i="3" a="1"/>
  <c r="J1602" i="3" s="1"/>
  <c r="G1615" i="3" s="1"/>
  <c r="O1495" i="3"/>
  <c r="F1610" i="3" l="1"/>
  <c r="F1609" i="3"/>
  <c r="F1607" i="3"/>
  <c r="G37" i="55"/>
  <c r="I37" i="55" s="1"/>
  <c r="F1608" i="3"/>
  <c r="G19" i="55" s="1"/>
  <c r="I19" i="55" s="1"/>
  <c r="O1531" i="3"/>
  <c r="K102" i="57" l="1"/>
  <c r="M102" i="57" s="1"/>
  <c r="K103" i="57"/>
  <c r="M103" i="57" s="1"/>
  <c r="K101" i="57"/>
  <c r="M101" i="57" s="1"/>
  <c r="K100" i="57"/>
  <c r="M100" i="57" s="1"/>
  <c r="P1500" i="3"/>
  <c r="Q1500" i="3" s="1"/>
  <c r="P1501" i="3"/>
  <c r="Q1501" i="3" s="1"/>
  <c r="P1502" i="3"/>
  <c r="Q1502" i="3" s="1"/>
  <c r="P1503" i="3"/>
  <c r="Q1503" i="3" s="1"/>
  <c r="P1504" i="3"/>
  <c r="Q1504" i="3" s="1"/>
  <c r="P1505" i="3"/>
  <c r="Q1505" i="3" s="1"/>
  <c r="P1506" i="3"/>
  <c r="Q1506" i="3" s="1"/>
  <c r="P1507" i="3"/>
  <c r="Q1507" i="3" s="1"/>
  <c r="P1508" i="3"/>
  <c r="Q1508" i="3" s="1"/>
  <c r="P1509" i="3"/>
  <c r="Q1509" i="3" s="1"/>
  <c r="P1510" i="3"/>
  <c r="Q1510" i="3" s="1"/>
  <c r="P1511" i="3"/>
  <c r="Q1511" i="3" s="1"/>
  <c r="P1512" i="3"/>
  <c r="Q1512" i="3" s="1"/>
  <c r="P1513" i="3"/>
  <c r="Q1513" i="3" s="1"/>
  <c r="P1514" i="3"/>
  <c r="Q1514" i="3" s="1"/>
  <c r="P1515" i="3"/>
  <c r="Q1515" i="3" s="1"/>
  <c r="P1516" i="3"/>
  <c r="Q1516" i="3" s="1"/>
  <c r="P1517" i="3"/>
  <c r="Q1517" i="3" s="1"/>
  <c r="P1518" i="3"/>
  <c r="Q1518" i="3" s="1"/>
  <c r="P1519" i="3"/>
  <c r="Q1519" i="3" s="1"/>
  <c r="P1520" i="3"/>
  <c r="Q1520" i="3" s="1"/>
  <c r="P1521" i="3"/>
  <c r="Q1521" i="3" s="1"/>
  <c r="P1522" i="3"/>
  <c r="Q1522" i="3" s="1"/>
  <c r="P1523" i="3"/>
  <c r="Q1523" i="3" s="1"/>
  <c r="P1524" i="3"/>
  <c r="Q1524" i="3" s="1"/>
  <c r="P1525" i="3"/>
  <c r="Q1525" i="3" s="1"/>
  <c r="P1526" i="3"/>
  <c r="Q1526" i="3" s="1"/>
  <c r="P1527" i="3"/>
  <c r="Q1527" i="3" s="1"/>
  <c r="P1528" i="3"/>
  <c r="Q1528" i="3" s="1"/>
  <c r="P1529" i="3"/>
  <c r="Q1529" i="3" s="1"/>
  <c r="P1530" i="3"/>
  <c r="Q1530" i="3" s="1"/>
  <c r="P1531" i="3"/>
  <c r="Q1531" i="3" s="1"/>
  <c r="O100" i="57" l="1"/>
  <c r="O101" i="57"/>
  <c r="F52" i="18"/>
  <c r="O102" i="57"/>
  <c r="O103" i="57"/>
  <c r="K163" i="57"/>
  <c r="F42" i="18" l="1"/>
  <c r="F43" i="18"/>
  <c r="F41" i="18"/>
  <c r="O846" i="44"/>
  <c r="G42" i="53" l="1"/>
  <c r="G41" i="53"/>
  <c r="G53" i="53"/>
  <c r="G40" i="53"/>
  <c r="G54" i="53"/>
  <c r="G55" i="18"/>
  <c r="G55" i="53"/>
  <c r="G43" i="53"/>
  <c r="M122" i="3" l="1"/>
  <c r="P122" i="3" s="1"/>
  <c r="F1388" i="3" l="1"/>
  <c r="G12" i="55"/>
  <c r="I12" i="55" s="1"/>
  <c r="M125" i="3"/>
  <c r="O122" i="3"/>
  <c r="Q122" i="3"/>
  <c r="M124" i="3"/>
  <c r="P124" i="3" s="1"/>
  <c r="M123" i="3"/>
  <c r="P123" i="3" s="1"/>
  <c r="P125" i="3" l="1"/>
  <c r="Q125" i="3" s="1"/>
  <c r="Q123" i="3"/>
  <c r="O123" i="3"/>
  <c r="Q124" i="3"/>
  <c r="O124" i="3" l="1"/>
  <c r="O125" i="3" s="1"/>
  <c r="J665" i="3" l="1"/>
  <c r="J666" i="3"/>
  <c r="M666" i="3" s="1"/>
  <c r="M667" i="3"/>
  <c r="C14" i="18" l="1"/>
  <c r="F40" i="18" s="1"/>
  <c r="M665" i="3"/>
  <c r="O576" i="3" s="1"/>
  <c r="O577" i="3" l="1"/>
  <c r="O578" i="3" s="1"/>
  <c r="O579" i="3" s="1"/>
  <c r="O580" i="3" s="1"/>
  <c r="O581" i="3" s="1"/>
  <c r="M229" i="3" l="1"/>
  <c r="O191" i="3" s="1"/>
  <c r="M230" i="3"/>
  <c r="M232" i="3"/>
  <c r="M234" i="3"/>
  <c r="M233" i="3"/>
  <c r="O192" i="3" l="1"/>
  <c r="M231" i="3"/>
  <c r="O619" i="3"/>
  <c r="M704" i="3"/>
  <c r="M703" i="3"/>
  <c r="O625" i="3" s="1"/>
  <c r="O193" i="3" l="1"/>
  <c r="O194" i="3" s="1"/>
  <c r="O195" i="3" s="1"/>
  <c r="O196" i="3" s="1"/>
  <c r="O626" i="3"/>
  <c r="M705" i="3" l="1"/>
  <c r="O627" i="3" s="1"/>
  <c r="M706" i="3"/>
  <c r="F700" i="3"/>
  <c r="G44" i="55" s="1"/>
  <c r="O628" i="3" l="1"/>
  <c r="G63" i="55" l="1"/>
  <c r="M17" i="3"/>
  <c r="O17" i="3" l="1"/>
  <c r="P17" i="3"/>
  <c r="Q17" i="3" s="1"/>
  <c r="M19" i="3"/>
  <c r="M20" i="3"/>
  <c r="P20" i="3" l="1"/>
  <c r="Q20" i="3" s="1"/>
  <c r="P19" i="3"/>
  <c r="Q19" i="3" s="1"/>
  <c r="M18" i="3"/>
  <c r="O18" i="3" l="1"/>
  <c r="P18" i="3"/>
  <c r="Q18" i="3" s="1"/>
  <c r="F40" i="53" l="1"/>
  <c r="I40" i="53" s="1"/>
  <c r="F41" i="53"/>
  <c r="I41" i="53" s="1"/>
  <c r="F42" i="53"/>
  <c r="I42" i="53" s="1"/>
  <c r="O19" i="3"/>
  <c r="O20" i="3" s="1"/>
  <c r="I54" i="18" l="1"/>
  <c r="I55" i="18"/>
  <c r="F55" i="53"/>
  <c r="I55" i="53" s="1"/>
  <c r="F53" i="53"/>
  <c r="I53" i="53" s="1"/>
  <c r="F52" i="53"/>
  <c r="F54" i="53"/>
  <c r="I54" i="53" s="1"/>
  <c r="I53" i="18"/>
  <c r="F43" i="53"/>
  <c r="I43" i="53" s="1"/>
  <c r="K43" i="53" s="1"/>
  <c r="K42" i="53" l="1"/>
  <c r="L53" i="53"/>
  <c r="L55" i="53"/>
  <c r="L54" i="53"/>
  <c r="K40" i="53"/>
  <c r="K41" i="53"/>
  <c r="L52" i="53"/>
  <c r="J14" i="53"/>
  <c r="C14" i="53"/>
  <c r="M1137" i="44"/>
  <c r="M1138" i="44"/>
  <c r="M1139" i="44"/>
  <c r="G52" i="53"/>
  <c r="I52" i="53" s="1"/>
  <c r="K55" i="53" l="1"/>
  <c r="M55" i="53" s="1"/>
  <c r="K54" i="53"/>
  <c r="M54" i="53" s="1"/>
  <c r="K52" i="53"/>
  <c r="M52" i="53" s="1"/>
  <c r="K53" i="53"/>
  <c r="M53" i="53" s="1"/>
  <c r="M18" i="44" l="1"/>
  <c r="M19" i="44"/>
  <c r="M20" i="44"/>
  <c r="M21" i="44"/>
  <c r="J10" i="44"/>
  <c r="M14" i="18"/>
  <c r="M17" i="18" s="1"/>
  <c r="J20" i="18" s="1"/>
  <c r="M14" i="53" l="1"/>
  <c r="M17" i="53" s="1"/>
  <c r="J20" i="53" s="1"/>
  <c r="F15" i="44"/>
  <c r="H44" i="55" s="1"/>
  <c r="I44" i="55" s="1"/>
  <c r="I63" i="55" s="1"/>
  <c r="G20" i="44"/>
  <c r="L2" i="57" s="1"/>
  <c r="H63" i="55" l="1"/>
  <c r="N2" i="57"/>
  <c r="G52" i="18" s="1"/>
  <c r="I52" i="18" s="1"/>
  <c r="P2" i="57"/>
  <c r="L163" i="57"/>
  <c r="F14" i="18"/>
  <c r="F14" i="53"/>
  <c r="F17" i="53" s="1"/>
  <c r="N65" i="53" l="1"/>
  <c r="I65" i="53"/>
  <c r="M64" i="53"/>
  <c r="N67" i="53"/>
  <c r="I66" i="53"/>
  <c r="I67" i="53"/>
  <c r="N66" i="53"/>
  <c r="F17" i="18"/>
  <c r="G41" i="18"/>
  <c r="I41" i="18" s="1"/>
  <c r="G42" i="18"/>
  <c r="I42" i="18" s="1"/>
  <c r="G43" i="18"/>
  <c r="I43" i="18" s="1"/>
  <c r="K53" i="18"/>
  <c r="K54" i="18"/>
  <c r="K55" i="18"/>
  <c r="K52" i="18"/>
  <c r="G40" i="18" l="1"/>
  <c r="I40" i="18" s="1"/>
  <c r="M54" i="18" s="1"/>
  <c r="M64" i="18"/>
  <c r="N67" i="18"/>
  <c r="N66" i="18"/>
  <c r="N65" i="18"/>
  <c r="K41" i="18" l="1"/>
  <c r="K42" i="18"/>
  <c r="K43" i="18"/>
  <c r="M53" i="18"/>
  <c r="M52" i="18"/>
  <c r="M55" i="18"/>
  <c r="K40" i="18"/>
  <c r="L52" i="18"/>
  <c r="L53" i="18"/>
  <c r="L55" i="18"/>
  <c r="L54" i="18"/>
</calcChain>
</file>

<file path=xl/sharedStrings.xml><?xml version="1.0" encoding="utf-8"?>
<sst xmlns="http://schemas.openxmlformats.org/spreadsheetml/2006/main" count="7019" uniqueCount="538">
  <si>
    <t>Fecha</t>
  </si>
  <si>
    <t>Obligaciones Negociables</t>
  </si>
  <si>
    <t>Concepto</t>
  </si>
  <si>
    <t>Cupon</t>
  </si>
  <si>
    <t>Amortización</t>
  </si>
  <si>
    <t>Saldo</t>
  </si>
  <si>
    <t>Emisor</t>
  </si>
  <si>
    <t>C</t>
  </si>
  <si>
    <t>Tipo</t>
  </si>
  <si>
    <t>Moneda</t>
  </si>
  <si>
    <t>Fecha Colocación</t>
  </si>
  <si>
    <t>Fecha Emisión</t>
  </si>
  <si>
    <t>Fecha Vencimiento</t>
  </si>
  <si>
    <t>A + C</t>
  </si>
  <si>
    <t>Tasa de Corte</t>
  </si>
  <si>
    <t>Agro Ganadera Vidoret I</t>
  </si>
  <si>
    <t>Agro Ganadera Vidoret S.A.</t>
  </si>
  <si>
    <t>ON Pyme CNV Garantizada</t>
  </si>
  <si>
    <t>ARS</t>
  </si>
  <si>
    <t>Tasa Referencia</t>
  </si>
  <si>
    <t>Badlar</t>
  </si>
  <si>
    <t>Amortización 6 C</t>
  </si>
  <si>
    <t>Tasas de Interes</t>
  </si>
  <si>
    <t>Tasas</t>
  </si>
  <si>
    <t>BCRA</t>
  </si>
  <si>
    <t>Código de Especie</t>
  </si>
  <si>
    <t>Meses de Interés</t>
  </si>
  <si>
    <t>Valor Nominal</t>
  </si>
  <si>
    <t>Valor Residual</t>
  </si>
  <si>
    <t>Vencimiento</t>
  </si>
  <si>
    <t>Proximo Pago</t>
  </si>
  <si>
    <t>Tasa Minima</t>
  </si>
  <si>
    <t>Tasa Maxima</t>
  </si>
  <si>
    <t>Avalistas</t>
  </si>
  <si>
    <t>Serie</t>
  </si>
  <si>
    <t>II</t>
  </si>
  <si>
    <t>Condiciones de Emisión</t>
  </si>
  <si>
    <t>Descripción</t>
  </si>
  <si>
    <t>Observaciones:</t>
  </si>
  <si>
    <t>Individualización N°</t>
  </si>
  <si>
    <t>Suspensión N°</t>
  </si>
  <si>
    <t>Calendario de pagos</t>
  </si>
  <si>
    <t>Amortización 5 C</t>
  </si>
  <si>
    <t>Valor Técnico</t>
  </si>
  <si>
    <t>Flujo de Fondos</t>
  </si>
  <si>
    <t>TIR de la Inversión</t>
  </si>
  <si>
    <t>Tito Dovio I</t>
  </si>
  <si>
    <t>Tito Dovio S.A.</t>
  </si>
  <si>
    <t>I</t>
  </si>
  <si>
    <t>USD</t>
  </si>
  <si>
    <t>Fija</t>
  </si>
  <si>
    <t>Moneda de Integración</t>
  </si>
  <si>
    <t>Moneda de Pago</t>
  </si>
  <si>
    <t>Agro Ganadera Vidoret II</t>
  </si>
  <si>
    <t>Amortización 3 C</t>
  </si>
  <si>
    <t>Amortización 1 C</t>
  </si>
  <si>
    <t>Agroinversiones I</t>
  </si>
  <si>
    <t>Agroinversiones S.A.</t>
  </si>
  <si>
    <t>Amortización 2-3 C</t>
  </si>
  <si>
    <t>Amortización 4-5 C</t>
  </si>
  <si>
    <t>Alianza Semillas V</t>
  </si>
  <si>
    <t>ON Pyme</t>
  </si>
  <si>
    <t>-</t>
  </si>
  <si>
    <t>V</t>
  </si>
  <si>
    <t>Amortización 4 C</t>
  </si>
  <si>
    <t>Meses de Interés (Pago1)</t>
  </si>
  <si>
    <t>Dario y Gustavo Bergamasco I</t>
  </si>
  <si>
    <t>Dario y Gustavo Bergamasco S.A.</t>
  </si>
  <si>
    <t>Lesko I</t>
  </si>
  <si>
    <t>Lesko S.A.C.I.F.I.A.</t>
  </si>
  <si>
    <t>Marcelo Rossini I</t>
  </si>
  <si>
    <t>Marcelo Rossini S.A.</t>
  </si>
  <si>
    <t>Amortización 7 C</t>
  </si>
  <si>
    <t>Tresnal Agropecuaria I</t>
  </si>
  <si>
    <t>Tresnal Agropecuaria S.A.</t>
  </si>
  <si>
    <t>Cardinal</t>
  </si>
  <si>
    <t>Azlepi S.R.L.</t>
  </si>
  <si>
    <t>Azlepi I</t>
  </si>
  <si>
    <t>Amortización 8 C</t>
  </si>
  <si>
    <t>Bandex S.A.</t>
  </si>
  <si>
    <t>Amortización 10 C</t>
  </si>
  <si>
    <t>Amortización 2 C</t>
  </si>
  <si>
    <t>Bandex I</t>
  </si>
  <si>
    <t>Bauge Construcciones S.A.</t>
  </si>
  <si>
    <t>Bauge Construcciones I</t>
  </si>
  <si>
    <t>Bertotto Boglione I</t>
  </si>
  <si>
    <t>Bertotto Boglione S.A.</t>
  </si>
  <si>
    <t>Agroempresa Colón S.A.</t>
  </si>
  <si>
    <t xml:space="preserve"> C</t>
  </si>
  <si>
    <t>Amoblamientos Reno I</t>
  </si>
  <si>
    <t>Antas del Dorado SA</t>
  </si>
  <si>
    <t>Catajuy SRL</t>
  </si>
  <si>
    <t>Cerealera Puntana SRL</t>
  </si>
  <si>
    <t>Amortización 12 C</t>
  </si>
  <si>
    <t>I (Clase A y B)</t>
  </si>
  <si>
    <t>Desarrollo Nazareno SRL</t>
  </si>
  <si>
    <t>BCI Consulting I</t>
  </si>
  <si>
    <t>BCI Consulting S.R.L.</t>
  </si>
  <si>
    <t>Big Bloom S.A.</t>
  </si>
  <si>
    <t>Big Bloom III</t>
  </si>
  <si>
    <t>III</t>
  </si>
  <si>
    <t>Bioetanol Rio Cuarto I</t>
  </si>
  <si>
    <t>Bioetanol Rio Cuarto S.A.</t>
  </si>
  <si>
    <t>Bronway Technology I</t>
  </si>
  <si>
    <t>Bronway Technology S.A.</t>
  </si>
  <si>
    <t>Calzetta I</t>
  </si>
  <si>
    <t>Calzetta S.A.</t>
  </si>
  <si>
    <t>Cilbrake I</t>
  </si>
  <si>
    <t>Cilbrake S.R.L.</t>
  </si>
  <si>
    <t>COES Sudamérica S.A.</t>
  </si>
  <si>
    <t>Amortización 11 C</t>
  </si>
  <si>
    <t>COL-VEN I</t>
  </si>
  <si>
    <t>COL-VEN S.A.</t>
  </si>
  <si>
    <t>Compacto I</t>
  </si>
  <si>
    <t>El Guaymallen I</t>
  </si>
  <si>
    <t>A</t>
  </si>
  <si>
    <t>B</t>
  </si>
  <si>
    <t>Canepa Kopoec y Asociados S.R.L.</t>
  </si>
  <si>
    <t>Canepa Kopec y Asociados I</t>
  </si>
  <si>
    <t>Coes Sudamérica I</t>
  </si>
  <si>
    <t>Meses de Interés - 1C</t>
  </si>
  <si>
    <t>D</t>
  </si>
  <si>
    <t>E</t>
  </si>
  <si>
    <t>F</t>
  </si>
  <si>
    <t>G</t>
  </si>
  <si>
    <t>H</t>
  </si>
  <si>
    <t>J</t>
  </si>
  <si>
    <t>L</t>
  </si>
  <si>
    <t>M</t>
  </si>
  <si>
    <t>N</t>
  </si>
  <si>
    <t>O</t>
  </si>
  <si>
    <t>P</t>
  </si>
  <si>
    <t>R</t>
  </si>
  <si>
    <t>S</t>
  </si>
  <si>
    <t>T</t>
  </si>
  <si>
    <t>U</t>
  </si>
  <si>
    <t>W</t>
  </si>
  <si>
    <t>Y</t>
  </si>
  <si>
    <t>X</t>
  </si>
  <si>
    <t>Z</t>
  </si>
  <si>
    <t>Agroempresa Colon I</t>
  </si>
  <si>
    <t>Antas del Dorado I</t>
  </si>
  <si>
    <t>Meses de Interés C1</t>
  </si>
  <si>
    <t>Catajuy I</t>
  </si>
  <si>
    <t>Cerealera Puntana I</t>
  </si>
  <si>
    <t>Cerealera Puntana II</t>
  </si>
  <si>
    <t>Del Fabro Hnos y Cía S.A.</t>
  </si>
  <si>
    <t>Desarrollo Nazareno I</t>
  </si>
  <si>
    <t>Dosam I</t>
  </si>
  <si>
    <t>El Calden I</t>
  </si>
  <si>
    <t>El Paso del Virrey I</t>
  </si>
  <si>
    <t>Agroempresa Colon II</t>
  </si>
  <si>
    <t>Esat S.A.</t>
  </si>
  <si>
    <t>Esta Por Venir I</t>
  </si>
  <si>
    <t>Esat I</t>
  </si>
  <si>
    <t>Esta Por Venir S.R.L.</t>
  </si>
  <si>
    <t>Fértil Tecnología S.R.L.</t>
  </si>
  <si>
    <t>Fertil Tecnologias I</t>
  </si>
  <si>
    <t>Grupo Pampatech S.A.</t>
  </si>
  <si>
    <t>Grupo Pampatech I</t>
  </si>
  <si>
    <t>Horwarth Consulting S.A.</t>
  </si>
  <si>
    <t>Horwarth Consulting I</t>
  </si>
  <si>
    <t>La Barranca I</t>
  </si>
  <si>
    <t>La Barranca S.A.</t>
  </si>
  <si>
    <t>Amortización 36 C</t>
  </si>
  <si>
    <t>Lustramax S.R.L.</t>
  </si>
  <si>
    <t>Lustramax I</t>
  </si>
  <si>
    <t>Metalfor I</t>
  </si>
  <si>
    <t>Metalfor S.A.</t>
  </si>
  <si>
    <t>Paredes Construcciones S.R.L.</t>
  </si>
  <si>
    <t>Paredes Construcciones I</t>
  </si>
  <si>
    <t>Plumada I</t>
  </si>
  <si>
    <t>Proseind S.A.</t>
  </si>
  <si>
    <t>Proseind I</t>
  </si>
  <si>
    <t>Sea White I</t>
  </si>
  <si>
    <t>Sea White S.A.</t>
  </si>
  <si>
    <t>Segufer I</t>
  </si>
  <si>
    <t>Segufer S.A.</t>
  </si>
  <si>
    <t>Segufer II</t>
  </si>
  <si>
    <t>Servipais I</t>
  </si>
  <si>
    <t>Servipais S.R.L.</t>
  </si>
  <si>
    <t>Sojas Argentinas I</t>
  </si>
  <si>
    <t>Sojas Argentinas S.R.L.</t>
  </si>
  <si>
    <t>Tradimex I</t>
  </si>
  <si>
    <t>Tradimex II</t>
  </si>
  <si>
    <t>Tradimex III</t>
  </si>
  <si>
    <t>Tradimex S.A.I. y C.</t>
  </si>
  <si>
    <t>Tropical S.A.</t>
  </si>
  <si>
    <t>Villanueva e Hijos II</t>
  </si>
  <si>
    <t>Villanueva e Hijos S.A.</t>
  </si>
  <si>
    <t>Tropical I</t>
  </si>
  <si>
    <t>Dos Banderas I</t>
  </si>
  <si>
    <t>Edisur I</t>
  </si>
  <si>
    <t>Elyon I</t>
  </si>
  <si>
    <t>ERA I</t>
  </si>
  <si>
    <t>Esquina 3 I</t>
  </si>
  <si>
    <t>Fincas del Rosario I</t>
  </si>
  <si>
    <t>Impomotors I</t>
  </si>
  <si>
    <t>Induar I</t>
  </si>
  <si>
    <t>Lipsa II</t>
  </si>
  <si>
    <t>Marcos Schmukler I</t>
  </si>
  <si>
    <t>Maxisur I</t>
  </si>
  <si>
    <t>Maxisur II</t>
  </si>
  <si>
    <t>Metalurgica Sergio Strapazzon I</t>
  </si>
  <si>
    <t>Metalurgica Sergio Strapazzon II</t>
  </si>
  <si>
    <t>Metagro I</t>
  </si>
  <si>
    <t>Molinos Sytari II</t>
  </si>
  <si>
    <t>Overseas Properties I</t>
  </si>
  <si>
    <t>Paranagro I</t>
  </si>
  <si>
    <t>Rizobacter II</t>
  </si>
  <si>
    <t>SAESA I</t>
  </si>
  <si>
    <t>Valerza I</t>
  </si>
  <si>
    <t>Villa Nueva I</t>
  </si>
  <si>
    <t>Sicom IV</t>
  </si>
  <si>
    <t>Intek II</t>
  </si>
  <si>
    <t>Euro III</t>
  </si>
  <si>
    <t>Villa Nueva S.A.</t>
  </si>
  <si>
    <t>Amortización 1-7 C</t>
  </si>
  <si>
    <t>Valerza S.A.</t>
  </si>
  <si>
    <t>Amortización 1-2 C</t>
  </si>
  <si>
    <t>Amortización 3-6 C</t>
  </si>
  <si>
    <t>Tantal Argentina S.R.L.</t>
  </si>
  <si>
    <t>Sicom S.A.</t>
  </si>
  <si>
    <t>IV</t>
  </si>
  <si>
    <t>San Atanasio Energía S.A.</t>
  </si>
  <si>
    <t>Amortización 1-8 C</t>
  </si>
  <si>
    <t>Amortización 1-12 C</t>
  </si>
  <si>
    <t>Paranagro S.A.C.I.A.</t>
  </si>
  <si>
    <t>Rizobacter S.A.</t>
  </si>
  <si>
    <t>Régimen General</t>
  </si>
  <si>
    <t>II - Clase A</t>
  </si>
  <si>
    <t>Overseas Properties S.A.</t>
  </si>
  <si>
    <t>Tanta Argentina I</t>
  </si>
  <si>
    <t>Clase A</t>
  </si>
  <si>
    <t>Clase B</t>
  </si>
  <si>
    <t>ARS/USD</t>
  </si>
  <si>
    <t>Edisur S.A.</t>
  </si>
  <si>
    <t>Elyon S.A.</t>
  </si>
  <si>
    <t>Energías Renovables Argentinas  S.A.</t>
  </si>
  <si>
    <t>Esquina 3 S.A.</t>
  </si>
  <si>
    <t>Euro S.A.</t>
  </si>
  <si>
    <t>Fincas del Rosario S.R.L.</t>
  </si>
  <si>
    <t>Gabriel E. Kelly I</t>
  </si>
  <si>
    <t>Gabriel E. Kelly S.A.</t>
  </si>
  <si>
    <t>Impomotors Argentina S.A.</t>
  </si>
  <si>
    <t>Del Fabro Hnos y Cía I</t>
  </si>
  <si>
    <t>Induar S.R.L.</t>
  </si>
  <si>
    <t>Intek S.A.</t>
  </si>
  <si>
    <t>Josa S.A.</t>
  </si>
  <si>
    <t>Amortización 1-4 C</t>
  </si>
  <si>
    <t>Amortización 5-6 C</t>
  </si>
  <si>
    <t>Lipsa S.R.L.</t>
  </si>
  <si>
    <t>Josa I</t>
  </si>
  <si>
    <t>Marcos Schmukler S.A.</t>
  </si>
  <si>
    <t>Amortización 9-12 C</t>
  </si>
  <si>
    <t>Maxisur S.A.</t>
  </si>
  <si>
    <t>Amortización 9 C</t>
  </si>
  <si>
    <t>Metalurgica Sergio Strapazzon S.A.</t>
  </si>
  <si>
    <t>Metagro S.R.L.</t>
  </si>
  <si>
    <t>Molinos Sytari S.R.L.</t>
  </si>
  <si>
    <t>TC</t>
  </si>
  <si>
    <t>Fuentes</t>
  </si>
  <si>
    <t>A3500</t>
  </si>
  <si>
    <t>Total de emisiones</t>
  </si>
  <si>
    <t>Cantidad de emisiones vigentes</t>
  </si>
  <si>
    <t>Valor Residual Total (ARS)</t>
  </si>
  <si>
    <t>Obligaciones Negociables por tipo</t>
  </si>
  <si>
    <t>VCP</t>
  </si>
  <si>
    <t>Total</t>
  </si>
  <si>
    <t>Emisiones vigentes</t>
  </si>
  <si>
    <t>Emisión</t>
  </si>
  <si>
    <t xml:space="preserve">Valor Nominal </t>
  </si>
  <si>
    <t>Duration</t>
  </si>
  <si>
    <t>Dosam S.R.L.</t>
  </si>
  <si>
    <t>El Calden S.R.L.</t>
  </si>
  <si>
    <t>El Paso del Virrey S.A.</t>
  </si>
  <si>
    <t>Individualizaciones</t>
  </si>
  <si>
    <t>Suspensiones</t>
  </si>
  <si>
    <t>Ruedas Reducidas</t>
  </si>
  <si>
    <t>Situación general de emisiones vigentes</t>
  </si>
  <si>
    <t xml:space="preserve">Cantidad </t>
  </si>
  <si>
    <t>% s/total</t>
  </si>
  <si>
    <t>Medidas</t>
  </si>
  <si>
    <t>Resumen de Emisiones MAV</t>
  </si>
  <si>
    <t>AFIANZAR S.G.R.</t>
  </si>
  <si>
    <t>AGROAVAL S.G.R.</t>
  </si>
  <si>
    <t>AMERICANA DE AVALES S.G.R.</t>
  </si>
  <si>
    <t>ARGENPYMES S.G.R.</t>
  </si>
  <si>
    <t>AVAL AR S.G.R.</t>
  </si>
  <si>
    <t>AVAL FEDERAL S.G.R.</t>
  </si>
  <si>
    <t>AVAL FERTIL S.G.R.</t>
  </si>
  <si>
    <t>AVAL GANADERO S.G.R.</t>
  </si>
  <si>
    <t>AVAL RURAL S.G.R.</t>
  </si>
  <si>
    <t>AVALES DEL CENTRO S.G.R.</t>
  </si>
  <si>
    <t>AVALUAR S.G.R.</t>
  </si>
  <si>
    <t>BLD AVALES S.G.R.</t>
  </si>
  <si>
    <t>CAMPO AVAL S.G.R.</t>
  </si>
  <si>
    <t>CARDINAL S.G.R.</t>
  </si>
  <si>
    <t>CONAVAL S.G.R.</t>
  </si>
  <si>
    <t>CONFEDERAR NEA S.G.R.</t>
  </si>
  <si>
    <t>CONFIABLES S.G.R.</t>
  </si>
  <si>
    <t>CRECER S.G.R.</t>
  </si>
  <si>
    <t>CREDITO ARGENTINO S.G.R.</t>
  </si>
  <si>
    <t>CUYO AVAL S.G.R.</t>
  </si>
  <si>
    <t>DON MARIO S.G.R.</t>
  </si>
  <si>
    <t>FIDEM S.G.R.</t>
  </si>
  <si>
    <t>FIDUS S.G.R.</t>
  </si>
  <si>
    <t>FINTECH S.G.R.</t>
  </si>
  <si>
    <t>GARANTIAS BIND S.G.R.</t>
  </si>
  <si>
    <t>GARANTIZAR S.G.R.</t>
  </si>
  <si>
    <t>INNOVA S.G.R.</t>
  </si>
  <si>
    <t>INTEGRA PYMES S.G.R.</t>
  </si>
  <si>
    <t>INTERAVALES S.G.R.</t>
  </si>
  <si>
    <t>INTERGARANTIAS S.G.R.</t>
  </si>
  <si>
    <t>LOS GROBO S.G.R.</t>
  </si>
  <si>
    <t>MILLS S.G.R.</t>
  </si>
  <si>
    <t>MOVIL S.G.R.</t>
  </si>
  <si>
    <t>NEUQUEN PYMES S.G.R.</t>
  </si>
  <si>
    <t>POTENCIAR S.G.R.</t>
  </si>
  <si>
    <t>PYME AVAL S.G.R.</t>
  </si>
  <si>
    <t>RESILIENCIA S.G.R.</t>
  </si>
  <si>
    <t>RIG AVALES S.G.R.</t>
  </si>
  <si>
    <t>SOLIDUM S.G.R.</t>
  </si>
  <si>
    <t>UNION S.G.R.</t>
  </si>
  <si>
    <t>VINCULOS S.G.R.</t>
  </si>
  <si>
    <t>ACINDAR PYMES S.G.R.</t>
  </si>
  <si>
    <t>AFFIDAVIT S.G.R.</t>
  </si>
  <si>
    <t>ALIANZA S.G.R.</t>
  </si>
  <si>
    <t>BANCO MARIVA S.A.</t>
  </si>
  <si>
    <t>$ARS</t>
  </si>
  <si>
    <t>$USD</t>
  </si>
  <si>
    <t>Cantidad Total</t>
  </si>
  <si>
    <t>SGR 1</t>
  </si>
  <si>
    <t>SGR 2</t>
  </si>
  <si>
    <t>SGR 3</t>
  </si>
  <si>
    <t>SGR 4</t>
  </si>
  <si>
    <t>SGR 5</t>
  </si>
  <si>
    <t>Emisiones Avaladas</t>
  </si>
  <si>
    <t>Valor Residual Avalado</t>
  </si>
  <si>
    <t>Monto Total ARS</t>
  </si>
  <si>
    <t>Avalistas ONs</t>
  </si>
  <si>
    <t>Tabla Avalistas</t>
  </si>
  <si>
    <t>Participación por SGR</t>
  </si>
  <si>
    <t>Etiquetas de fila</t>
  </si>
  <si>
    <t>Total general</t>
  </si>
  <si>
    <t>Suma de Cantidad Total</t>
  </si>
  <si>
    <t>Suma de Monto Total ARS</t>
  </si>
  <si>
    <t>Rogiro Aceros S.A.</t>
  </si>
  <si>
    <t>Rogiro Aceros I</t>
  </si>
  <si>
    <t>Meses Primer pago</t>
  </si>
  <si>
    <t>Calendario de pagos - ORIGINAL</t>
  </si>
  <si>
    <t>Calendario de pagos - MODIFICADO</t>
  </si>
  <si>
    <t>Inalpa Industrias Alimenticias Pavón Arriba S.A.</t>
  </si>
  <si>
    <t>Inalpa I</t>
  </si>
  <si>
    <t>Agro Ganadera Vidoret III</t>
  </si>
  <si>
    <t>Amortización  4C</t>
  </si>
  <si>
    <t>Agroganadera Vidoret II</t>
  </si>
  <si>
    <t>vencida</t>
  </si>
  <si>
    <t>Campo de Avanzada I</t>
  </si>
  <si>
    <t>Campo de Avanzada S.A.</t>
  </si>
  <si>
    <t>Amortización 1-5 C</t>
  </si>
  <si>
    <t>José Llenes II</t>
  </si>
  <si>
    <t>José Llenes S.A.C.I.F.</t>
  </si>
  <si>
    <t>Amortización 3-4 C</t>
  </si>
  <si>
    <t>Tradimex IV</t>
  </si>
  <si>
    <t>Grupo Alimenticio I</t>
  </si>
  <si>
    <t>Grupo Alimenticio S.A.</t>
  </si>
  <si>
    <t>Arrowws I</t>
  </si>
  <si>
    <t>Arrowws Argentina S.R.L.</t>
  </si>
  <si>
    <t>Amortización 1 - 5 C</t>
  </si>
  <si>
    <t>Tresnal Agropecuaria II</t>
  </si>
  <si>
    <t>Estructuras I</t>
  </si>
  <si>
    <t>Estructuras S.A.C.I.C.I.Y.F.</t>
  </si>
  <si>
    <t>Campo Fértil I</t>
  </si>
  <si>
    <t>Campo Fértil S.A.</t>
  </si>
  <si>
    <t>Agrocomercial Suardi S.R.L.</t>
  </si>
  <si>
    <t>Agrocomercial Suardi I</t>
  </si>
  <si>
    <t>Del Fabro II</t>
  </si>
  <si>
    <t>Villanueva e Hijos III</t>
  </si>
  <si>
    <t>Piscinas Premiun I</t>
  </si>
  <si>
    <t>BANCO SUPERVIELLE S.A</t>
  </si>
  <si>
    <t>BANCO DE SERVICIOS Y TRANSACCIONES S.A</t>
  </si>
  <si>
    <t>Piscinas Premiun S.A.</t>
  </si>
  <si>
    <t>Agronorte I</t>
  </si>
  <si>
    <t>Agronorte S.R.L</t>
  </si>
  <si>
    <t>i</t>
  </si>
  <si>
    <t>tasa baldar</t>
  </si>
  <si>
    <t>Dos Bandera S.A</t>
  </si>
  <si>
    <t>Agroideas I</t>
  </si>
  <si>
    <t>Agroideas S.A.</t>
  </si>
  <si>
    <t>Buyatti I</t>
  </si>
  <si>
    <t>Buyatti S.A.I.C.A.</t>
  </si>
  <si>
    <t>Capetrol I</t>
  </si>
  <si>
    <t>Crucianelli I</t>
  </si>
  <si>
    <t>Talleres Metalurgicos Crucianelli S.A.</t>
  </si>
  <si>
    <t>Cumar III</t>
  </si>
  <si>
    <t>Cumar S.A.</t>
  </si>
  <si>
    <t>Nestor Gastaldi I</t>
  </si>
  <si>
    <t>Nestor Gastaldi e hijos S.R.L</t>
  </si>
  <si>
    <t>Capetrol S.A</t>
  </si>
  <si>
    <t>Campo de avanzada I</t>
  </si>
  <si>
    <t>Campo Fertil I</t>
  </si>
  <si>
    <t>Del Fabro Ii</t>
  </si>
  <si>
    <t>Grupo Alienticio I</t>
  </si>
  <si>
    <t>Jose Llenes II</t>
  </si>
  <si>
    <t>Rogiro Aceros</t>
  </si>
  <si>
    <t>$</t>
  </si>
  <si>
    <t>U$D</t>
  </si>
  <si>
    <t>Emision</t>
  </si>
  <si>
    <t>Emisora</t>
  </si>
  <si>
    <t>Compacto S.A.</t>
  </si>
  <si>
    <t>Del Fabro Hnos. Y Cia S.A.</t>
  </si>
  <si>
    <t>Amoblamientos Reno S.A.</t>
  </si>
  <si>
    <t>Catajuy S.R.L.</t>
  </si>
  <si>
    <t>Canepa I</t>
  </si>
  <si>
    <t>CUIT</t>
  </si>
  <si>
    <t>ENTIDADES DE GARANTIA</t>
  </si>
  <si>
    <t>Valor Residual ARS</t>
  </si>
  <si>
    <t>Valor Residual USD</t>
  </si>
  <si>
    <t>PROSEIND I</t>
  </si>
  <si>
    <t>Del Fabro Hnos y Cía I Clase B</t>
  </si>
  <si>
    <t>Del Fabro Hnos y Cía I Clase A</t>
  </si>
  <si>
    <t>% GARANTIZADO</t>
  </si>
  <si>
    <t>30-70782501-0</t>
  </si>
  <si>
    <t>30-70894176-6</t>
  </si>
  <si>
    <t>30-70865881-9</t>
  </si>
  <si>
    <t>30-54779448-2</t>
  </si>
  <si>
    <t>30-65167106-6</t>
  </si>
  <si>
    <t>30-50168439-9</t>
  </si>
  <si>
    <t>30-71330220-8</t>
  </si>
  <si>
    <t>33-71582712-9</t>
  </si>
  <si>
    <t>30-71267850-6</t>
  </si>
  <si>
    <t>30-65704080-7</t>
  </si>
  <si>
    <t>30-71255411-4</t>
  </si>
  <si>
    <t>30-50448445-5</t>
  </si>
  <si>
    <t>30-70802978-1</t>
  </si>
  <si>
    <t>30-56702073-4</t>
  </si>
  <si>
    <t>30-53156521-1</t>
  </si>
  <si>
    <t>30-70873272-5</t>
  </si>
  <si>
    <t>30-70805943-5</t>
  </si>
  <si>
    <t>30-71133878-7</t>
  </si>
  <si>
    <t>30-50342334-7</t>
  </si>
  <si>
    <t>30-53847089-5</t>
  </si>
  <si>
    <t>33-70883059-9</t>
  </si>
  <si>
    <t>30-71025327-3</t>
  </si>
  <si>
    <t>30-53156521-0</t>
  </si>
  <si>
    <t>PURO AVAL S.G.R.</t>
  </si>
  <si>
    <t>30-65853133-2</t>
  </si>
  <si>
    <t>33-51829764-9</t>
  </si>
  <si>
    <t>30-55024677-1</t>
  </si>
  <si>
    <t>30-71233522-6</t>
  </si>
  <si>
    <t>30-58603251-4</t>
  </si>
  <si>
    <t>30-71165058-6</t>
  </si>
  <si>
    <t>30-71254713-4</t>
  </si>
  <si>
    <t>30-54717491-3</t>
  </si>
  <si>
    <t>30-70773597-6</t>
  </si>
  <si>
    <t>30-70993431-3</t>
  </si>
  <si>
    <t>30-71021986-5</t>
  </si>
  <si>
    <t>30-61550199-5</t>
  </si>
  <si>
    <t>30-52965489-4</t>
  </si>
  <si>
    <t>30-71112724-7</t>
  </si>
  <si>
    <t>30-71151580-8</t>
  </si>
  <si>
    <t>30-71009590-2</t>
  </si>
  <si>
    <t>30-70474718-3</t>
  </si>
  <si>
    <t>30-56031241-1</t>
  </si>
  <si>
    <t>30-70954300-4</t>
  </si>
  <si>
    <t>30-71186759-3</t>
  </si>
  <si>
    <t>30-71452174-4</t>
  </si>
  <si>
    <t>30-71228553-9</t>
  </si>
  <si>
    <t>30-70958525-4</t>
  </si>
  <si>
    <t>30-70852323-9</t>
  </si>
  <si>
    <t> 30-70969733-8</t>
  </si>
  <si>
    <t>30-64616777-5</t>
  </si>
  <si>
    <t>30-69154836-4</t>
  </si>
  <si>
    <t>30-65031269-0</t>
  </si>
  <si>
    <t>30-71156309-8</t>
  </si>
  <si>
    <t>30-67814536-6</t>
  </si>
  <si>
    <t>30-70941894-3</t>
  </si>
  <si>
    <t>30-70009978-0</t>
  </si>
  <si>
    <t>30-70911732-3</t>
  </si>
  <si>
    <t>30-69917905-8</t>
  </si>
  <si>
    <t>30-71416956-0</t>
  </si>
  <si>
    <t>30-70633425-0</t>
  </si>
  <si>
    <t>30-71144460-9</t>
  </si>
  <si>
    <t>30-70900408-1</t>
  </si>
  <si>
    <t>30-71374650-5</t>
  </si>
  <si>
    <t>30-70977213-5</t>
  </si>
  <si>
    <t>30-70848789-5</t>
  </si>
  <si>
    <t>30-70840472-8</t>
  </si>
  <si>
    <t>30-66904113-2</t>
  </si>
  <si>
    <t>30-52028252-8</t>
  </si>
  <si>
    <t>30-71156677-1</t>
  </si>
  <si>
    <t>30-55291051-2</t>
  </si>
  <si>
    <t>30-70737108-7</t>
  </si>
  <si>
    <t>30-65803480-0</t>
  </si>
  <si>
    <t>30-71145754-9</t>
  </si>
  <si>
    <t>30-56602670-4</t>
  </si>
  <si>
    <t>33-70710965-9</t>
  </si>
  <si>
    <t>30-70700989-2</t>
  </si>
  <si>
    <t>30-59317405-7</t>
  </si>
  <si>
    <t>30-55466811-5</t>
  </si>
  <si>
    <t>30-70723233-8</t>
  </si>
  <si>
    <t>30-68827986-7</t>
  </si>
  <si>
    <t>30-71107587-5</t>
  </si>
  <si>
    <t>30-70858077-1</t>
  </si>
  <si>
    <t>30-53678418-3</t>
  </si>
  <si>
    <t>30-71249072-8</t>
  </si>
  <si>
    <t>30-71447077-5</t>
  </si>
  <si>
    <t>30-55791346-3</t>
  </si>
  <si>
    <t>30-71172690-6</t>
  </si>
  <si>
    <t>Campo Fértil S.R.L</t>
  </si>
  <si>
    <t>30-71432757-3</t>
  </si>
  <si>
    <t>30-59143556-2</t>
  </si>
  <si>
    <t>30-70984987-1</t>
  </si>
  <si>
    <t>30-70974466-2</t>
  </si>
  <si>
    <t>La Barranca S.R.L</t>
  </si>
  <si>
    <t>30-71445825-2</t>
  </si>
  <si>
    <t>30-70982454-2</t>
  </si>
  <si>
    <t>Garro Fabril I</t>
  </si>
  <si>
    <t>Garro Fabril S.A.</t>
  </si>
  <si>
    <t>30-53930138-8</t>
  </si>
  <si>
    <t>Valor Residual ARS x SGR</t>
  </si>
  <si>
    <t>Valor Residual USD x SGR</t>
  </si>
  <si>
    <t>Vencida</t>
  </si>
  <si>
    <t>Antas del Dorado II</t>
  </si>
  <si>
    <t>Agriseed I</t>
  </si>
  <si>
    <t>Agriseed S.A.</t>
  </si>
  <si>
    <t>30-62891059-2</t>
  </si>
  <si>
    <t>El Hinojo I</t>
  </si>
  <si>
    <t>FO.GA.ER</t>
  </si>
  <si>
    <t>El Hinojo S.A.</t>
  </si>
  <si>
    <t>30-71068601-3</t>
  </si>
  <si>
    <t>Fo.Ga.Er S.G.R</t>
  </si>
  <si>
    <t>Edisur I Garantizada</t>
  </si>
  <si>
    <t>Vencido</t>
  </si>
  <si>
    <t>Deposito Fiscal Cordoba SA</t>
  </si>
  <si>
    <t>Deposito Fiscal Cordoba I</t>
  </si>
  <si>
    <t>33-71575792-9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</si>
</sst>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0.000%"/>
    <numFmt numFmtId="166" formatCode="0.0000%"/>
    <numFmt numFmtId="167" formatCode="0.0%"/>
    <numFmt numFmtId="168" formatCode="&quot;$&quot;\ #,##0.00"/>
    <numFmt numFmtId="169" formatCode="&quot;$&quot;\ #,##0"/>
    <numFmt numFmtId="170" formatCode="0.0000"/>
    <numFmt numFmtId="171" formatCode="_-* #,##0_-;\-* #,##0_-;_-* &quot;-&quot;??_-;_-@_-"/>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0"/>
      <name val="Calibri"/>
      <family val="2"/>
      <scheme val="minor"/>
    </font>
    <font>
      <u/>
      <sz val="11"/>
      <color theme="10"/>
      <name val="Calibri"/>
      <family val="2"/>
      <scheme val="minor"/>
    </font>
    <font>
      <sz val="10"/>
      <color theme="1"/>
      <name val="Calibri"/>
      <family val="2"/>
      <scheme val="minor"/>
    </font>
    <font>
      <b/>
      <sz val="10"/>
      <color theme="0"/>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theme="0" tint="-0.14999847407452621"/>
      <name val="Calibri"/>
      <family val="2"/>
      <scheme val="minor"/>
    </font>
    <font>
      <b/>
      <sz val="18"/>
      <color theme="3" tint="-0.499984740745262"/>
      <name val="Calibri"/>
      <family val="2"/>
      <scheme val="minor"/>
    </font>
    <font>
      <sz val="11"/>
      <color theme="1"/>
      <name val="Calibri Light"/>
      <family val="2"/>
    </font>
    <font>
      <b/>
      <sz val="14"/>
      <name val="Calibri Light"/>
      <family val="2"/>
    </font>
    <font>
      <b/>
      <sz val="11"/>
      <color theme="0"/>
      <name val="Calibri Light"/>
      <family val="2"/>
    </font>
    <font>
      <b/>
      <sz val="11"/>
      <color theme="1"/>
      <name val="Calibri Light"/>
      <family val="2"/>
    </font>
    <font>
      <b/>
      <sz val="14"/>
      <color theme="0"/>
      <name val="Calibri Light"/>
      <family val="2"/>
    </font>
    <font>
      <b/>
      <sz val="12"/>
      <color theme="0"/>
      <name val="Calibri Light"/>
      <family val="2"/>
    </font>
    <font>
      <b/>
      <sz val="12"/>
      <name val="Calibri Light"/>
      <family val="2"/>
    </font>
    <font>
      <sz val="11"/>
      <color theme="0"/>
      <name val="Calibri Light"/>
      <family val="2"/>
    </font>
    <font>
      <b/>
      <sz val="11"/>
      <name val="Calibri Light"/>
      <family val="2"/>
    </font>
    <font>
      <sz val="11"/>
      <color theme="3" tint="-0.499984740745262"/>
      <name val="Calibri Light"/>
      <family val="2"/>
    </font>
    <font>
      <sz val="10"/>
      <color theme="2" tint="-0.249977111117893"/>
      <name val="Calibri"/>
      <family val="2"/>
      <scheme val="minor"/>
    </font>
    <font>
      <b/>
      <sz val="11"/>
      <color theme="3" tint="-0.499984740745262"/>
      <name val="Calibri Light"/>
      <family val="2"/>
    </font>
    <font>
      <sz val="11"/>
      <color theme="1"/>
      <name val="Calibri Light"/>
      <family val="2"/>
      <scheme val="major"/>
    </font>
    <font>
      <b/>
      <sz val="14"/>
      <color theme="0"/>
      <name val="Calibri Light"/>
      <family val="2"/>
      <scheme val="major"/>
    </font>
    <font>
      <b/>
      <sz val="11"/>
      <color theme="0"/>
      <name val="Calibri Light"/>
      <family val="2"/>
      <scheme val="major"/>
    </font>
    <font>
      <sz val="11"/>
      <name val="Calibri Light"/>
      <family val="2"/>
    </font>
    <font>
      <sz val="10"/>
      <color theme="0" tint="-4.9989318521683403E-2"/>
      <name val="Calibri"/>
      <family val="2"/>
      <scheme val="minor"/>
    </font>
    <font>
      <sz val="11"/>
      <name val="Calibri"/>
      <family val="2"/>
      <scheme val="minor"/>
    </font>
    <font>
      <b/>
      <sz val="12"/>
      <color theme="0"/>
      <name val="Calibri Light"/>
      <family val="2"/>
      <scheme val="major"/>
    </font>
    <font>
      <b/>
      <sz val="11"/>
      <color theme="1"/>
      <name val="Calibri Light"/>
      <family val="2"/>
      <scheme val="major"/>
    </font>
    <font>
      <b/>
      <sz val="16"/>
      <color theme="0"/>
      <name val="Calibri Light"/>
      <family val="2"/>
      <scheme val="major"/>
    </font>
    <font>
      <sz val="10"/>
      <color theme="1"/>
      <name val="Calibri Light"/>
      <family val="2"/>
      <scheme val="major"/>
    </font>
    <font>
      <b/>
      <sz val="10"/>
      <color theme="1"/>
      <name val="Calibri Light"/>
      <family val="2"/>
      <scheme val="major"/>
    </font>
    <font>
      <b/>
      <sz val="10"/>
      <color theme="0"/>
      <name val="Calibri Light"/>
      <family val="2"/>
      <scheme val="major"/>
    </font>
    <font>
      <sz val="11"/>
      <color theme="0" tint="-0.249977111117893"/>
      <name val="Calibri"/>
      <family val="2"/>
      <scheme val="minor"/>
    </font>
    <font>
      <sz val="11"/>
      <color rgb="FF212125"/>
      <name val="Calibri Light"/>
      <family val="2"/>
    </font>
    <font>
      <b/>
      <sz val="11"/>
      <color rgb="FF212125"/>
      <name val="Calibri Light"/>
      <family val="2"/>
    </font>
    <font>
      <sz val="11"/>
      <color rgb="FF333333"/>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1"/>
      <name val="Calibri Light"/>
      <family val="2"/>
      <scheme val="major"/>
    </font>
    <font>
      <sz val="8"/>
      <color theme="0" tint="-0.499984740745262"/>
      <name val="Calibri"/>
      <family val="2"/>
      <scheme val="minor"/>
    </font>
    <font>
      <sz val="11"/>
      <color theme="1"/>
      <name val="Calibri Light"/>
      <family val="2"/>
      <scheme val="major"/>
    </font>
    <font>
      <sz val="10"/>
      <color theme="1"/>
      <name val="Calibri Light"/>
      <family val="2"/>
      <scheme val="major"/>
    </font>
    <font>
      <sz val="12"/>
      <color rgb="FF666666"/>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3" tint="-0.499984740745262"/>
        <bgColor indexed="64"/>
      </patternFill>
    </fill>
    <fill>
      <patternFill patternType="solid">
        <fgColor rgb="FF009999"/>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8" tint="-0.499984740745262"/>
        <bgColor indexed="64"/>
      </patternFill>
    </fill>
    <fill>
      <patternFill patternType="solid">
        <fgColor rgb="FF212125"/>
        <bgColor indexed="64"/>
      </patternFill>
    </fill>
    <fill>
      <patternFill patternType="solid">
        <fgColor rgb="FFFFFFFF"/>
        <bgColor indexed="64"/>
      </patternFill>
    </fill>
    <fill>
      <patternFill patternType="solid">
        <fgColor rgb="FFF5F5F5"/>
        <bgColor indexed="64"/>
      </patternFill>
    </fill>
    <fill>
      <patternFill patternType="solid">
        <fgColor theme="5" tint="-0.249977111117893"/>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top style="thin">
        <color theme="0"/>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thin">
        <color indexed="64"/>
      </right>
      <top/>
      <bottom style="dotted">
        <color indexed="64"/>
      </bottom>
      <diagonal/>
    </border>
    <border>
      <left style="thin">
        <color theme="0"/>
      </left>
      <right style="thin">
        <color indexed="64"/>
      </right>
      <top style="thin">
        <color indexed="64"/>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dotted">
        <color auto="1"/>
      </left>
      <right style="thin">
        <color indexed="64"/>
      </right>
      <top style="thin">
        <color indexed="64"/>
      </top>
      <bottom/>
      <diagonal/>
    </border>
    <border>
      <left style="thin">
        <color theme="0"/>
      </left>
      <right/>
      <top style="dotted">
        <color theme="0"/>
      </top>
      <bottom/>
      <diagonal/>
    </border>
    <border>
      <left/>
      <right style="dotted">
        <color theme="0"/>
      </right>
      <top style="dotted">
        <color theme="0"/>
      </top>
      <bottom/>
      <diagonal/>
    </border>
    <border>
      <left/>
      <right style="dotted">
        <color theme="0"/>
      </right>
      <top/>
      <bottom/>
      <diagonal/>
    </border>
    <border>
      <left style="thin">
        <color theme="0"/>
      </left>
      <right/>
      <top/>
      <bottom style="dotted">
        <color theme="0"/>
      </bottom>
      <diagonal/>
    </border>
    <border>
      <left/>
      <right style="dotted">
        <color theme="0"/>
      </right>
      <top/>
      <bottom style="dotted">
        <color theme="0"/>
      </bottom>
      <diagonal/>
    </border>
    <border>
      <left style="dotted">
        <color theme="0"/>
      </left>
      <right/>
      <top style="dotted">
        <color theme="0"/>
      </top>
      <bottom/>
      <diagonal/>
    </border>
    <border>
      <left/>
      <right style="thin">
        <color theme="0"/>
      </right>
      <top style="dotted">
        <color theme="0"/>
      </top>
      <bottom/>
      <diagonal/>
    </border>
    <border>
      <left style="dotted">
        <color theme="0"/>
      </left>
      <right/>
      <top/>
      <bottom/>
      <diagonal/>
    </border>
    <border>
      <left style="dotted">
        <color theme="0"/>
      </left>
      <right/>
      <top/>
      <bottom style="dotted">
        <color theme="0"/>
      </bottom>
      <diagonal/>
    </border>
    <border>
      <left/>
      <right style="thin">
        <color theme="0"/>
      </right>
      <top/>
      <bottom style="dotted">
        <color theme="0"/>
      </bottom>
      <diagonal/>
    </border>
    <border>
      <left style="dotted">
        <color theme="0"/>
      </left>
      <right/>
      <top style="thin">
        <color theme="0"/>
      </top>
      <bottom/>
      <diagonal/>
    </border>
    <border>
      <left/>
      <right/>
      <top/>
      <bottom style="dotted">
        <color theme="0"/>
      </bottom>
      <diagonal/>
    </border>
    <border>
      <left style="dotted">
        <color theme="0"/>
      </left>
      <right style="thin">
        <color theme="0"/>
      </right>
      <top style="thin">
        <color theme="0"/>
      </top>
      <bottom/>
      <diagonal/>
    </border>
    <border>
      <left style="dotted">
        <color theme="0"/>
      </left>
      <right style="thin">
        <color theme="0"/>
      </right>
      <top/>
      <bottom/>
      <diagonal/>
    </border>
    <border>
      <left style="dotted">
        <color theme="0"/>
      </left>
      <right style="thin">
        <color theme="0"/>
      </right>
      <top/>
      <bottom style="thin">
        <color theme="0"/>
      </bottom>
      <diagonal/>
    </border>
    <border>
      <left style="dotted">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theme="0"/>
      </right>
      <top/>
      <bottom/>
      <diagonal/>
    </border>
    <border>
      <left style="thin">
        <color theme="0"/>
      </left>
      <right style="thin">
        <color indexed="64"/>
      </right>
      <top/>
      <bottom/>
      <diagonal/>
    </border>
    <border>
      <left style="medium">
        <color rgb="FFDDDDDD"/>
      </left>
      <right style="medium">
        <color rgb="FFDDDDDD"/>
      </right>
      <top style="medium">
        <color rgb="FFDDDDDD"/>
      </top>
      <bottom style="medium">
        <color rgb="FFDDDDDD"/>
      </bottom>
      <diagonal/>
    </border>
    <border>
      <left style="thin">
        <color indexed="64"/>
      </left>
      <right style="dotted">
        <color indexed="64"/>
      </right>
      <top style="thin">
        <color indexed="64"/>
      </top>
      <bottom style="thin">
        <color indexed="64"/>
      </bottom>
      <diagonal/>
    </border>
    <border>
      <left/>
      <right/>
      <top style="dotted">
        <color indexed="64"/>
      </top>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cellStyleXfs>
  <cellXfs count="711">
    <xf numFmtId="0" fontId="0" fillId="0" borderId="0" xfId="0"/>
    <xf numFmtId="0" fontId="0" fillId="2" borderId="1" xfId="0"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vertical="center"/>
    </xf>
    <xf numFmtId="164" fontId="3" fillId="2" borderId="8" xfId="0" applyNumberFormat="1" applyFont="1" applyFill="1" applyBorder="1" applyAlignment="1">
      <alignment horizontal="center" vertical="center"/>
    </xf>
    <xf numFmtId="0" fontId="2" fillId="3" borderId="7" xfId="0" applyFont="1" applyFill="1" applyBorder="1" applyAlignment="1">
      <alignment horizontal="center" vertical="center"/>
    </xf>
    <xf numFmtId="0" fontId="0" fillId="2" borderId="10"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0" xfId="0" applyAlignment="1">
      <alignment horizontal="center"/>
    </xf>
    <xf numFmtId="0" fontId="2" fillId="3" borderId="14" xfId="0" applyFont="1" applyFill="1" applyBorder="1" applyAlignment="1">
      <alignment horizontal="center" vertical="center"/>
    </xf>
    <xf numFmtId="0" fontId="5" fillId="0" borderId="0" xfId="2" applyAlignment="1">
      <alignment horizontal="center"/>
    </xf>
    <xf numFmtId="164" fontId="0" fillId="0" borderId="0" xfId="0" applyNumberFormat="1" applyAlignment="1">
      <alignment horizontal="center"/>
    </xf>
    <xf numFmtId="10" fontId="0" fillId="0" borderId="0" xfId="1" applyNumberFormat="1" applyFont="1"/>
    <xf numFmtId="14" fontId="0" fillId="0" borderId="0" xfId="0" applyNumberFormat="1"/>
    <xf numFmtId="166" fontId="0" fillId="0" borderId="0" xfId="0" applyNumberFormat="1"/>
    <xf numFmtId="0" fontId="6" fillId="2" borderId="1"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0" borderId="0" xfId="0" applyFont="1" applyAlignment="1">
      <alignment vertical="center"/>
    </xf>
    <xf numFmtId="0" fontId="6" fillId="2" borderId="4"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2" borderId="12" xfId="0" applyFont="1" applyFill="1" applyBorder="1" applyAlignment="1">
      <alignment vertical="center"/>
    </xf>
    <xf numFmtId="4" fontId="6" fillId="0" borderId="0" xfId="0" applyNumberFormat="1" applyFont="1" applyAlignment="1">
      <alignment vertical="center"/>
    </xf>
    <xf numFmtId="0" fontId="9" fillId="3" borderId="7" xfId="0" applyFont="1" applyFill="1" applyBorder="1" applyAlignment="1">
      <alignment horizontal="center" vertical="center"/>
    </xf>
    <xf numFmtId="0" fontId="6" fillId="2" borderId="0" xfId="0" applyFont="1" applyFill="1" applyAlignment="1">
      <alignment horizontal="right" vertical="center"/>
    </xf>
    <xf numFmtId="0" fontId="8" fillId="2" borderId="4" xfId="0" applyFont="1" applyFill="1" applyBorder="1" applyAlignment="1">
      <alignment horizontal="left" vertical="center"/>
    </xf>
    <xf numFmtId="4" fontId="6" fillId="2" borderId="0" xfId="0" applyNumberFormat="1" applyFont="1" applyFill="1" applyAlignment="1">
      <alignment vertical="center"/>
    </xf>
    <xf numFmtId="164" fontId="6" fillId="2" borderId="0" xfId="0" applyNumberFormat="1" applyFont="1" applyFill="1" applyAlignment="1">
      <alignment horizontal="right" vertical="center"/>
    </xf>
    <xf numFmtId="164" fontId="6" fillId="2" borderId="0" xfId="0" applyNumberFormat="1" applyFont="1" applyFill="1" applyAlignment="1">
      <alignment horizontal="center" vertical="center"/>
    </xf>
    <xf numFmtId="165" fontId="6" fillId="2" borderId="0" xfId="1" applyNumberFormat="1" applyFont="1" applyFill="1" applyBorder="1" applyAlignment="1">
      <alignment horizontal="right" vertical="center"/>
    </xf>
    <xf numFmtId="10" fontId="6" fillId="0" borderId="0" xfId="0" applyNumberFormat="1" applyFont="1" applyAlignment="1">
      <alignment vertical="center"/>
    </xf>
    <xf numFmtId="0" fontId="6" fillId="2" borderId="2" xfId="0" applyFont="1" applyFill="1" applyBorder="1" applyAlignment="1">
      <alignment horizontal="right" vertical="center"/>
    </xf>
    <xf numFmtId="3" fontId="8" fillId="2" borderId="3"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6" fillId="2" borderId="0" xfId="0" applyNumberFormat="1" applyFont="1" applyFill="1" applyAlignment="1">
      <alignment vertical="center"/>
    </xf>
    <xf numFmtId="164" fontId="8" fillId="2" borderId="12" xfId="0" applyNumberFormat="1" applyFont="1" applyFill="1" applyBorder="1" applyAlignment="1">
      <alignment horizontal="center" vertical="center"/>
    </xf>
    <xf numFmtId="10" fontId="6" fillId="2" borderId="0" xfId="1" applyNumberFormat="1" applyFont="1" applyFill="1" applyBorder="1" applyAlignment="1">
      <alignment horizontal="right" vertical="center"/>
    </xf>
    <xf numFmtId="9" fontId="6" fillId="2" borderId="0" xfId="1" applyFont="1" applyFill="1" applyBorder="1" applyAlignment="1">
      <alignment horizontal="right" vertical="center"/>
    </xf>
    <xf numFmtId="0" fontId="6" fillId="2" borderId="17" xfId="0" applyFont="1" applyFill="1" applyBorder="1" applyAlignment="1">
      <alignment horizontal="right" vertical="center"/>
    </xf>
    <xf numFmtId="0" fontId="6" fillId="2" borderId="18" xfId="0" applyFont="1" applyFill="1" applyBorder="1" applyAlignment="1">
      <alignment vertical="center"/>
    </xf>
    <xf numFmtId="0" fontId="6" fillId="2" borderId="19" xfId="0" applyFont="1" applyFill="1" applyBorder="1" applyAlignment="1">
      <alignment vertical="center"/>
    </xf>
    <xf numFmtId="164" fontId="8" fillId="2" borderId="17" xfId="0" applyNumberFormat="1" applyFont="1" applyFill="1" applyBorder="1" applyAlignment="1">
      <alignment horizontal="center" vertical="center"/>
    </xf>
    <xf numFmtId="0" fontId="6" fillId="2" borderId="18" xfId="0" applyFont="1" applyFill="1" applyBorder="1" applyAlignment="1">
      <alignment horizontal="right" vertical="center" indent="1"/>
    </xf>
    <xf numFmtId="4" fontId="8" fillId="2" borderId="19" xfId="0" applyNumberFormat="1" applyFont="1" applyFill="1" applyBorder="1" applyAlignment="1">
      <alignment horizontal="right" vertical="center" indent="1"/>
    </xf>
    <xf numFmtId="164" fontId="6" fillId="2" borderId="17" xfId="0" applyNumberFormat="1" applyFont="1" applyFill="1" applyBorder="1" applyAlignment="1">
      <alignment horizontal="center" vertical="center"/>
    </xf>
    <xf numFmtId="4" fontId="6" fillId="2" borderId="18" xfId="0" applyNumberFormat="1" applyFont="1" applyFill="1" applyBorder="1" applyAlignment="1">
      <alignment horizontal="right" vertical="center" indent="1"/>
    </xf>
    <xf numFmtId="4" fontId="6" fillId="2" borderId="19" xfId="0" applyNumberFormat="1" applyFont="1" applyFill="1" applyBorder="1" applyAlignment="1">
      <alignment horizontal="right" vertical="center" indent="1"/>
    </xf>
    <xf numFmtId="164" fontId="6" fillId="2" borderId="20" xfId="0" applyNumberFormat="1" applyFont="1" applyFill="1" applyBorder="1" applyAlignment="1">
      <alignment horizontal="center" vertical="center"/>
    </xf>
    <xf numFmtId="0" fontId="6" fillId="2" borderId="21" xfId="0" applyFont="1" applyFill="1" applyBorder="1" applyAlignment="1">
      <alignment vertical="center"/>
    </xf>
    <xf numFmtId="4" fontId="6" fillId="2" borderId="21" xfId="0" applyNumberFormat="1" applyFont="1" applyFill="1" applyBorder="1" applyAlignment="1">
      <alignment vertical="center"/>
    </xf>
    <xf numFmtId="4" fontId="6" fillId="2" borderId="22" xfId="0" applyNumberFormat="1" applyFont="1" applyFill="1" applyBorder="1" applyAlignment="1">
      <alignment vertical="center"/>
    </xf>
    <xf numFmtId="0" fontId="6" fillId="2" borderId="17" xfId="0" applyFont="1" applyFill="1" applyBorder="1" applyAlignment="1">
      <alignment vertical="center"/>
    </xf>
    <xf numFmtId="0" fontId="8" fillId="2" borderId="17" xfId="0" applyFont="1" applyFill="1" applyBorder="1" applyAlignment="1">
      <alignment horizontal="left" vertical="center"/>
    </xf>
    <xf numFmtId="0" fontId="8" fillId="2" borderId="20" xfId="0" applyFont="1" applyFill="1" applyBorder="1" applyAlignment="1">
      <alignment horizontal="left" vertical="center"/>
    </xf>
    <xf numFmtId="0" fontId="6" fillId="2" borderId="21" xfId="0" applyFont="1" applyFill="1" applyBorder="1" applyAlignment="1">
      <alignment horizontal="center" vertical="center"/>
    </xf>
    <xf numFmtId="0" fontId="6" fillId="2" borderId="19" xfId="0" applyFont="1" applyFill="1" applyBorder="1" applyAlignment="1">
      <alignment horizontal="right" vertical="center"/>
    </xf>
    <xf numFmtId="0" fontId="6" fillId="2" borderId="20" xfId="0" applyFont="1" applyFill="1" applyBorder="1" applyAlignment="1">
      <alignment vertical="center"/>
    </xf>
    <xf numFmtId="0" fontId="6" fillId="2" borderId="22" xfId="0" applyFont="1" applyFill="1" applyBorder="1" applyAlignment="1">
      <alignment vertical="center"/>
    </xf>
    <xf numFmtId="164" fontId="6" fillId="4" borderId="19" xfId="0" applyNumberFormat="1" applyFont="1" applyFill="1" applyBorder="1" applyAlignment="1">
      <alignment horizontal="center" vertical="center"/>
    </xf>
    <xf numFmtId="3" fontId="6" fillId="4" borderId="19" xfId="0" applyNumberFormat="1" applyFont="1" applyFill="1" applyBorder="1" applyAlignment="1">
      <alignment horizontal="center" vertical="center"/>
    </xf>
    <xf numFmtId="165" fontId="6" fillId="4" borderId="19" xfId="1" applyNumberFormat="1" applyFont="1" applyFill="1" applyBorder="1" applyAlignment="1">
      <alignment horizontal="center" vertical="center"/>
    </xf>
    <xf numFmtId="10" fontId="6" fillId="4" borderId="19" xfId="1" applyNumberFormat="1" applyFont="1" applyFill="1" applyBorder="1" applyAlignment="1">
      <alignment horizontal="center" vertical="center"/>
    </xf>
    <xf numFmtId="9" fontId="6" fillId="4" borderId="19" xfId="1" applyFont="1" applyFill="1" applyBorder="1" applyAlignment="1">
      <alignment horizontal="center" vertical="center"/>
    </xf>
    <xf numFmtId="0" fontId="6" fillId="4" borderId="18" xfId="0" applyFont="1" applyFill="1" applyBorder="1" applyAlignment="1">
      <alignment vertical="center"/>
    </xf>
    <xf numFmtId="0" fontId="6" fillId="4" borderId="18" xfId="0" applyFont="1" applyFill="1" applyBorder="1" applyAlignment="1">
      <alignment horizontal="center" vertical="center"/>
    </xf>
    <xf numFmtId="10" fontId="0" fillId="0" borderId="0" xfId="0" applyNumberFormat="1"/>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0" fontId="2" fillId="3" borderId="23" xfId="0" applyFont="1" applyFill="1" applyBorder="1" applyAlignment="1">
      <alignment horizontal="left" vertical="center"/>
    </xf>
    <xf numFmtId="164" fontId="10" fillId="2" borderId="8" xfId="0" applyNumberFormat="1" applyFont="1" applyFill="1" applyBorder="1" applyAlignment="1">
      <alignment horizontal="center" vertical="center"/>
    </xf>
    <xf numFmtId="0" fontId="2" fillId="5" borderId="30" xfId="0" applyFont="1" applyFill="1" applyBorder="1" applyAlignment="1">
      <alignment horizontal="center" vertical="center"/>
    </xf>
    <xf numFmtId="0" fontId="2" fillId="5" borderId="31" xfId="0" applyFont="1" applyFill="1" applyBorder="1" applyAlignment="1">
      <alignment horizontal="center" vertical="center"/>
    </xf>
    <xf numFmtId="0" fontId="2" fillId="5" borderId="32" xfId="0" applyFont="1" applyFill="1" applyBorder="1" applyAlignment="1">
      <alignment horizontal="center" vertical="center"/>
    </xf>
    <xf numFmtId="0" fontId="6" fillId="0" borderId="2" xfId="0" applyFont="1" applyBorder="1" applyAlignment="1">
      <alignment vertical="center"/>
    </xf>
    <xf numFmtId="0" fontId="6" fillId="0" borderId="11" xfId="0" applyFont="1" applyBorder="1" applyAlignment="1">
      <alignment vertical="center"/>
    </xf>
    <xf numFmtId="0" fontId="6" fillId="2" borderId="25" xfId="0" applyFont="1" applyFill="1" applyBorder="1" applyAlignment="1">
      <alignment horizontal="right" vertical="center"/>
    </xf>
    <xf numFmtId="0" fontId="6" fillId="2" borderId="24" xfId="0" applyFont="1" applyFill="1" applyBorder="1" applyAlignment="1">
      <alignment horizontal="right" vertical="center"/>
    </xf>
    <xf numFmtId="164" fontId="6" fillId="2" borderId="24" xfId="0" applyNumberFormat="1" applyFont="1" applyFill="1" applyBorder="1" applyAlignment="1">
      <alignment horizontal="right" vertical="center"/>
    </xf>
    <xf numFmtId="165" fontId="6" fillId="2" borderId="24" xfId="1" applyNumberFormat="1" applyFont="1" applyFill="1" applyBorder="1" applyAlignment="1">
      <alignment horizontal="right" vertical="center"/>
    </xf>
    <xf numFmtId="0" fontId="6" fillId="2" borderId="24" xfId="0" applyFont="1" applyFill="1" applyBorder="1" applyAlignment="1">
      <alignment vertical="center"/>
    </xf>
    <xf numFmtId="0" fontId="6" fillId="2" borderId="26" xfId="0" applyFont="1" applyFill="1" applyBorder="1" applyAlignment="1">
      <alignment vertical="center"/>
    </xf>
    <xf numFmtId="3" fontId="8" fillId="2" borderId="0" xfId="0" applyNumberFormat="1" applyFont="1" applyFill="1" applyAlignment="1">
      <alignment horizontal="center" vertical="center"/>
    </xf>
    <xf numFmtId="4" fontId="8" fillId="2" borderId="4" xfId="0" applyNumberFormat="1" applyFont="1" applyFill="1" applyBorder="1" applyAlignment="1">
      <alignment horizontal="right" vertical="center" indent="1"/>
    </xf>
    <xf numFmtId="4" fontId="6" fillId="2" borderId="4" xfId="0" applyNumberFormat="1" applyFont="1" applyFill="1" applyBorder="1" applyAlignment="1">
      <alignment horizontal="right" vertical="center" indent="1"/>
    </xf>
    <xf numFmtId="4" fontId="6" fillId="2" borderId="4" xfId="0" applyNumberFormat="1" applyFont="1" applyFill="1" applyBorder="1" applyAlignment="1">
      <alignment vertical="center"/>
    </xf>
    <xf numFmtId="164" fontId="6" fillId="2" borderId="4" xfId="0" applyNumberFormat="1" applyFont="1" applyFill="1" applyBorder="1" applyAlignment="1">
      <alignment horizontal="center" vertical="center"/>
    </xf>
    <xf numFmtId="4" fontId="12" fillId="0" borderId="0" xfId="0" applyNumberFormat="1" applyFont="1" applyAlignment="1">
      <alignment vertical="center"/>
    </xf>
    <xf numFmtId="0" fontId="7" fillId="5" borderId="19" xfId="0" applyFont="1" applyFill="1" applyBorder="1" applyAlignment="1">
      <alignment horizontal="center" vertical="center"/>
    </xf>
    <xf numFmtId="10" fontId="8" fillId="2" borderId="0" xfId="1" applyNumberFormat="1" applyFont="1" applyFill="1" applyBorder="1" applyAlignment="1">
      <alignment horizontal="center" vertical="center"/>
    </xf>
    <xf numFmtId="167" fontId="6" fillId="4" borderId="19" xfId="1" applyNumberFormat="1" applyFont="1" applyFill="1" applyBorder="1" applyAlignment="1">
      <alignment horizontal="center" vertical="center"/>
    </xf>
    <xf numFmtId="0" fontId="6" fillId="2" borderId="36" xfId="0" applyFont="1" applyFill="1" applyBorder="1" applyAlignment="1">
      <alignment vertical="center"/>
    </xf>
    <xf numFmtId="4" fontId="8" fillId="2" borderId="36" xfId="0" applyNumberFormat="1" applyFont="1" applyFill="1" applyBorder="1" applyAlignment="1">
      <alignment horizontal="right" vertical="center" indent="1"/>
    </xf>
    <xf numFmtId="4" fontId="6" fillId="2" borderId="36" xfId="0" applyNumberFormat="1" applyFont="1" applyFill="1" applyBorder="1" applyAlignment="1">
      <alignment horizontal="right" vertical="center" indent="1"/>
    </xf>
    <xf numFmtId="0" fontId="6" fillId="4" borderId="21" xfId="0" applyFont="1" applyFill="1" applyBorder="1" applyAlignment="1">
      <alignment horizontal="center" vertical="center"/>
    </xf>
    <xf numFmtId="4" fontId="6" fillId="2" borderId="21" xfId="0" applyNumberFormat="1" applyFont="1" applyFill="1" applyBorder="1" applyAlignment="1">
      <alignment horizontal="right" vertical="center" indent="1"/>
    </xf>
    <xf numFmtId="4" fontId="6" fillId="2" borderId="22" xfId="0" applyNumberFormat="1" applyFont="1" applyFill="1" applyBorder="1" applyAlignment="1">
      <alignment horizontal="right" vertical="center" indent="1"/>
    </xf>
    <xf numFmtId="4" fontId="6" fillId="2" borderId="37" xfId="0" applyNumberFormat="1" applyFont="1" applyFill="1" applyBorder="1" applyAlignment="1">
      <alignment horizontal="right" vertical="center" indent="1"/>
    </xf>
    <xf numFmtId="4" fontId="6" fillId="2" borderId="37" xfId="0" applyNumberFormat="1" applyFont="1" applyFill="1" applyBorder="1" applyAlignment="1">
      <alignment vertical="center"/>
    </xf>
    <xf numFmtId="4" fontId="6" fillId="2" borderId="0" xfId="0" applyNumberFormat="1" applyFont="1" applyFill="1" applyAlignment="1">
      <alignment horizontal="right" vertical="center" indent="1"/>
    </xf>
    <xf numFmtId="10" fontId="6" fillId="4" borderId="22" xfId="1" applyNumberFormat="1" applyFont="1" applyFill="1" applyBorder="1" applyAlignment="1">
      <alignment horizontal="center" vertical="center"/>
    </xf>
    <xf numFmtId="0" fontId="6" fillId="6" borderId="7" xfId="0" applyFont="1" applyFill="1" applyBorder="1" applyAlignment="1">
      <alignment vertical="center"/>
    </xf>
    <xf numFmtId="0" fontId="6" fillId="6" borderId="5" xfId="0" applyFont="1" applyFill="1" applyBorder="1" applyAlignment="1">
      <alignment vertical="center"/>
    </xf>
    <xf numFmtId="0" fontId="6" fillId="6" borderId="5" xfId="0" applyFont="1" applyFill="1" applyBorder="1" applyAlignment="1">
      <alignment horizontal="right" vertical="center"/>
    </xf>
    <xf numFmtId="0" fontId="6" fillId="6" borderId="9" xfId="0" applyFont="1" applyFill="1" applyBorder="1" applyAlignment="1">
      <alignment vertical="center"/>
    </xf>
    <xf numFmtId="0" fontId="6" fillId="6" borderId="1" xfId="0" applyFont="1" applyFill="1" applyBorder="1" applyAlignment="1">
      <alignment vertical="center"/>
    </xf>
    <xf numFmtId="0" fontId="6" fillId="6" borderId="2" xfId="0" applyFont="1" applyFill="1" applyBorder="1" applyAlignment="1">
      <alignment vertical="center"/>
    </xf>
    <xf numFmtId="0" fontId="6" fillId="6" borderId="2" xfId="0" applyFont="1" applyFill="1" applyBorder="1" applyAlignment="1">
      <alignment horizontal="right" vertical="center"/>
    </xf>
    <xf numFmtId="0" fontId="6" fillId="6" borderId="3" xfId="0" applyFont="1" applyFill="1" applyBorder="1" applyAlignment="1">
      <alignment vertical="center"/>
    </xf>
    <xf numFmtId="10" fontId="6" fillId="2" borderId="22" xfId="1" applyNumberFormat="1" applyFont="1" applyFill="1" applyBorder="1" applyAlignment="1">
      <alignment horizontal="center" vertical="center"/>
    </xf>
    <xf numFmtId="0" fontId="6" fillId="4" borderId="22" xfId="0" applyFont="1" applyFill="1" applyBorder="1" applyAlignment="1">
      <alignment vertical="center"/>
    </xf>
    <xf numFmtId="0" fontId="6" fillId="6" borderId="0" xfId="0" applyFont="1" applyFill="1" applyAlignment="1">
      <alignment vertical="center"/>
    </xf>
    <xf numFmtId="0" fontId="13" fillId="2"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5" borderId="0" xfId="0" applyFont="1" applyFill="1" applyAlignment="1">
      <alignment horizontal="center" vertical="center"/>
    </xf>
    <xf numFmtId="0" fontId="9" fillId="7" borderId="0" xfId="0" applyFont="1" applyFill="1" applyAlignment="1">
      <alignment horizontal="center" vertical="center"/>
    </xf>
    <xf numFmtId="0" fontId="2" fillId="7" borderId="30" xfId="0" applyFont="1" applyFill="1" applyBorder="1" applyAlignment="1">
      <alignment horizontal="center" vertical="center"/>
    </xf>
    <xf numFmtId="0" fontId="2" fillId="7" borderId="31" xfId="0" applyFont="1" applyFill="1" applyBorder="1" applyAlignment="1">
      <alignment horizontal="center" vertical="center"/>
    </xf>
    <xf numFmtId="0" fontId="2" fillId="7" borderId="32" xfId="0" applyFont="1" applyFill="1" applyBorder="1" applyAlignment="1">
      <alignment horizontal="center" vertical="center"/>
    </xf>
    <xf numFmtId="0" fontId="7" fillId="7" borderId="19"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18" xfId="0" applyFont="1" applyFill="1" applyBorder="1" applyAlignment="1">
      <alignment vertical="center"/>
    </xf>
    <xf numFmtId="0" fontId="6" fillId="8" borderId="18" xfId="0" applyFont="1" applyFill="1" applyBorder="1" applyAlignment="1">
      <alignment horizontal="center" vertical="center"/>
    </xf>
    <xf numFmtId="0" fontId="11" fillId="8" borderId="19" xfId="0" applyFont="1" applyFill="1" applyBorder="1" applyAlignment="1">
      <alignment horizontal="center" vertical="center"/>
    </xf>
    <xf numFmtId="164" fontId="6" fillId="8" borderId="19" xfId="0" applyNumberFormat="1" applyFont="1" applyFill="1" applyBorder="1" applyAlignment="1">
      <alignment horizontal="center" vertical="center"/>
    </xf>
    <xf numFmtId="3" fontId="6" fillId="8" borderId="19" xfId="0" applyNumberFormat="1" applyFont="1" applyFill="1" applyBorder="1" applyAlignment="1">
      <alignment horizontal="center" vertical="center"/>
    </xf>
    <xf numFmtId="165" fontId="6" fillId="8" borderId="19" xfId="1" applyNumberFormat="1" applyFont="1" applyFill="1" applyBorder="1" applyAlignment="1">
      <alignment horizontal="center" vertical="center"/>
    </xf>
    <xf numFmtId="10" fontId="6" fillId="8" borderId="19" xfId="1" applyNumberFormat="1" applyFont="1" applyFill="1" applyBorder="1" applyAlignment="1">
      <alignment horizontal="center" vertical="center"/>
    </xf>
    <xf numFmtId="9" fontId="6" fillId="8" borderId="19" xfId="1" applyFont="1" applyFill="1" applyBorder="1" applyAlignment="1">
      <alignment horizontal="center" vertical="center"/>
    </xf>
    <xf numFmtId="0" fontId="6" fillId="8" borderId="21" xfId="0" applyFont="1" applyFill="1" applyBorder="1" applyAlignment="1">
      <alignment horizontal="center" vertical="center"/>
    </xf>
    <xf numFmtId="0" fontId="6" fillId="8" borderId="22" xfId="0" applyFont="1" applyFill="1" applyBorder="1" applyAlignment="1">
      <alignment vertical="center"/>
    </xf>
    <xf numFmtId="0" fontId="2" fillId="7" borderId="33" xfId="0" applyFont="1" applyFill="1" applyBorder="1" applyAlignment="1">
      <alignment horizontal="center" vertical="center"/>
    </xf>
    <xf numFmtId="0" fontId="2" fillId="7" borderId="34" xfId="0" applyFont="1" applyFill="1" applyBorder="1" applyAlignment="1">
      <alignment horizontal="center" vertical="center"/>
    </xf>
    <xf numFmtId="0" fontId="2" fillId="7" borderId="35" xfId="0" applyFont="1" applyFill="1" applyBorder="1" applyAlignment="1">
      <alignment horizontal="center" vertical="center"/>
    </xf>
    <xf numFmtId="9" fontId="6" fillId="8" borderId="22" xfId="1" applyFont="1" applyFill="1" applyBorder="1" applyAlignment="1">
      <alignment horizontal="center" vertical="center"/>
    </xf>
    <xf numFmtId="0" fontId="8" fillId="2" borderId="0" xfId="0" applyFont="1" applyFill="1" applyAlignment="1">
      <alignment horizontal="left" vertical="center"/>
    </xf>
    <xf numFmtId="167" fontId="6" fillId="8" borderId="19" xfId="1" applyNumberFormat="1" applyFont="1" applyFill="1" applyBorder="1" applyAlignment="1">
      <alignment horizontal="center" vertical="center"/>
    </xf>
    <xf numFmtId="0" fontId="6" fillId="2" borderId="38" xfId="0" applyFont="1" applyFill="1" applyBorder="1" applyAlignment="1">
      <alignment vertical="center"/>
    </xf>
    <xf numFmtId="0" fontId="6" fillId="2" borderId="39" xfId="0" applyFont="1" applyFill="1" applyBorder="1" applyAlignment="1">
      <alignment vertical="center"/>
    </xf>
    <xf numFmtId="0" fontId="6" fillId="2" borderId="40" xfId="0" applyFont="1" applyFill="1" applyBorder="1" applyAlignment="1">
      <alignment vertical="center"/>
    </xf>
    <xf numFmtId="0" fontId="6" fillId="2" borderId="41" xfId="0" applyFont="1" applyFill="1" applyBorder="1" applyAlignment="1">
      <alignment vertical="center"/>
    </xf>
    <xf numFmtId="0" fontId="6" fillId="0" borderId="39" xfId="0" applyFont="1" applyBorder="1" applyAlignment="1">
      <alignment vertical="center"/>
    </xf>
    <xf numFmtId="2" fontId="0" fillId="0" borderId="0" xfId="0" applyNumberFormat="1"/>
    <xf numFmtId="0" fontId="2" fillId="3" borderId="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2" fillId="3" borderId="44" xfId="0" applyFont="1" applyFill="1" applyBorder="1" applyAlignment="1">
      <alignment horizontal="center" vertical="center"/>
    </xf>
    <xf numFmtId="0" fontId="14" fillId="2" borderId="1" xfId="0" applyFont="1" applyFill="1" applyBorder="1" applyAlignment="1">
      <alignment vertical="center"/>
    </xf>
    <xf numFmtId="0" fontId="14" fillId="2" borderId="2" xfId="0" applyFont="1" applyFill="1" applyBorder="1" applyAlignment="1">
      <alignment vertical="center"/>
    </xf>
    <xf numFmtId="0" fontId="14" fillId="2" borderId="3" xfId="0" applyFont="1" applyFill="1" applyBorder="1" applyAlignment="1">
      <alignment vertical="center"/>
    </xf>
    <xf numFmtId="0" fontId="14" fillId="0" borderId="0" xfId="0" applyFont="1" applyAlignment="1">
      <alignment vertical="center"/>
    </xf>
    <xf numFmtId="0" fontId="14" fillId="2" borderId="4" xfId="0" applyFont="1" applyFill="1" applyBorder="1" applyAlignment="1">
      <alignment vertical="center"/>
    </xf>
    <xf numFmtId="0" fontId="14" fillId="2" borderId="0" xfId="0" applyFont="1" applyFill="1" applyAlignment="1">
      <alignment vertical="center"/>
    </xf>
    <xf numFmtId="0" fontId="14" fillId="2" borderId="6" xfId="0" applyFont="1" applyFill="1" applyBorder="1" applyAlignment="1">
      <alignment vertical="center"/>
    </xf>
    <xf numFmtId="0" fontId="14" fillId="0" borderId="6" xfId="0" applyFont="1" applyBorder="1" applyAlignment="1">
      <alignment vertical="center"/>
    </xf>
    <xf numFmtId="0" fontId="16" fillId="6" borderId="7" xfId="0" applyFont="1" applyFill="1" applyBorder="1" applyAlignment="1">
      <alignment horizontal="center" vertical="center"/>
    </xf>
    <xf numFmtId="164" fontId="17" fillId="2" borderId="8" xfId="0" applyNumberFormat="1" applyFont="1" applyFill="1" applyBorder="1" applyAlignment="1">
      <alignment horizontal="center" vertical="center"/>
    </xf>
    <xf numFmtId="0" fontId="14" fillId="2" borderId="10" xfId="0" applyFont="1" applyFill="1" applyBorder="1" applyAlignment="1">
      <alignment vertical="center"/>
    </xf>
    <xf numFmtId="0" fontId="14" fillId="2" borderId="11" xfId="0" applyFont="1" applyFill="1" applyBorder="1" applyAlignment="1">
      <alignment vertical="center"/>
    </xf>
    <xf numFmtId="0" fontId="14" fillId="2" borderId="12" xfId="0" applyFont="1" applyFill="1" applyBorder="1" applyAlignment="1">
      <alignment vertical="center"/>
    </xf>
    <xf numFmtId="0" fontId="14" fillId="2" borderId="1" xfId="0" applyFont="1" applyFill="1" applyBorder="1" applyAlignment="1">
      <alignment horizontal="center" vertical="center"/>
    </xf>
    <xf numFmtId="0" fontId="14" fillId="2" borderId="52" xfId="0" applyFont="1" applyFill="1" applyBorder="1" applyAlignment="1">
      <alignment vertical="center"/>
    </xf>
    <xf numFmtId="0" fontId="14" fillId="2" borderId="4" xfId="0" applyFont="1" applyFill="1" applyBorder="1" applyAlignment="1">
      <alignment horizontal="center" vertical="center"/>
    </xf>
    <xf numFmtId="0" fontId="14" fillId="2" borderId="48" xfId="0" applyFont="1" applyFill="1" applyBorder="1" applyAlignment="1">
      <alignment vertical="center"/>
    </xf>
    <xf numFmtId="0" fontId="14" fillId="2" borderId="46" xfId="0" applyFont="1" applyFill="1" applyBorder="1" applyAlignment="1">
      <alignment vertical="center"/>
    </xf>
    <xf numFmtId="0" fontId="14" fillId="2" borderId="47" xfId="0" applyFont="1" applyFill="1" applyBorder="1" applyAlignment="1">
      <alignment vertical="center"/>
    </xf>
    <xf numFmtId="0" fontId="14" fillId="2" borderId="50" xfId="0" applyFont="1" applyFill="1" applyBorder="1" applyAlignment="1">
      <alignment vertical="center"/>
    </xf>
    <xf numFmtId="0" fontId="14" fillId="2" borderId="51" xfId="0" applyFont="1" applyFill="1" applyBorder="1" applyAlignment="1">
      <alignment vertical="center"/>
    </xf>
    <xf numFmtId="3" fontId="21" fillId="2" borderId="4" xfId="0" applyNumberFormat="1" applyFont="1" applyFill="1" applyBorder="1" applyAlignment="1">
      <alignment vertical="center"/>
    </xf>
    <xf numFmtId="0" fontId="14" fillId="9" borderId="0" xfId="0" applyFont="1" applyFill="1" applyAlignment="1">
      <alignment vertical="center"/>
    </xf>
    <xf numFmtId="0" fontId="14" fillId="9" borderId="16" xfId="0" applyFont="1" applyFill="1" applyBorder="1" applyAlignment="1">
      <alignment vertical="center"/>
    </xf>
    <xf numFmtId="0" fontId="14" fillId="9" borderId="55" xfId="0" applyFont="1" applyFill="1" applyBorder="1" applyAlignment="1">
      <alignment vertical="center"/>
    </xf>
    <xf numFmtId="0" fontId="14" fillId="9" borderId="56" xfId="0" applyFont="1" applyFill="1" applyBorder="1" applyAlignment="1">
      <alignment vertical="center"/>
    </xf>
    <xf numFmtId="0" fontId="14" fillId="9" borderId="57" xfId="0" applyFont="1" applyFill="1" applyBorder="1" applyAlignment="1">
      <alignment vertical="center"/>
    </xf>
    <xf numFmtId="0" fontId="14" fillId="9" borderId="58" xfId="0" applyFont="1" applyFill="1" applyBorder="1" applyAlignment="1">
      <alignment vertical="center"/>
    </xf>
    <xf numFmtId="0" fontId="14" fillId="9" borderId="59" xfId="0" applyFont="1" applyFill="1" applyBorder="1" applyAlignment="1">
      <alignment vertical="center"/>
    </xf>
    <xf numFmtId="0" fontId="14" fillId="9" borderId="60" xfId="0" applyFont="1" applyFill="1" applyBorder="1" applyAlignment="1">
      <alignment vertical="center"/>
    </xf>
    <xf numFmtId="0" fontId="14" fillId="9" borderId="61" xfId="0" applyFont="1" applyFill="1" applyBorder="1" applyAlignment="1">
      <alignment vertical="center"/>
    </xf>
    <xf numFmtId="0" fontId="22" fillId="9" borderId="53" xfId="0" applyFont="1" applyFill="1" applyBorder="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49" fontId="24" fillId="0" borderId="0" xfId="0" applyNumberFormat="1" applyFont="1" applyAlignment="1">
      <alignment vertical="center"/>
    </xf>
    <xf numFmtId="4" fontId="24" fillId="0" borderId="0" xfId="0" applyNumberFormat="1" applyFont="1" applyAlignment="1">
      <alignment vertical="center"/>
    </xf>
    <xf numFmtId="2" fontId="8" fillId="2" borderId="0" xfId="1" applyNumberFormat="1" applyFont="1" applyFill="1" applyBorder="1" applyAlignment="1">
      <alignment horizontal="center" vertical="center"/>
    </xf>
    <xf numFmtId="1" fontId="16" fillId="10" borderId="65" xfId="0" applyNumberFormat="1" applyFont="1" applyFill="1" applyBorder="1" applyAlignment="1">
      <alignment horizontal="center" vertical="center"/>
    </xf>
    <xf numFmtId="9" fontId="16" fillId="10" borderId="65" xfId="0" applyNumberFormat="1" applyFont="1" applyFill="1" applyBorder="1" applyAlignment="1">
      <alignment horizontal="center" vertical="center"/>
    </xf>
    <xf numFmtId="0" fontId="26" fillId="0" borderId="0" xfId="0" applyFont="1" applyAlignment="1">
      <alignment vertical="center"/>
    </xf>
    <xf numFmtId="0" fontId="26" fillId="0" borderId="4" xfId="0" applyFont="1" applyBorder="1" applyAlignment="1">
      <alignment vertical="center"/>
    </xf>
    <xf numFmtId="0" fontId="28" fillId="6" borderId="0" xfId="0" applyFont="1" applyFill="1" applyAlignment="1">
      <alignment horizontal="center" vertical="center" wrapText="1"/>
    </xf>
    <xf numFmtId="0" fontId="26" fillId="0" borderId="6" xfId="0" applyFont="1" applyBorder="1" applyAlignment="1">
      <alignment vertical="center"/>
    </xf>
    <xf numFmtId="0" fontId="26" fillId="0" borderId="0" xfId="0" applyFont="1" applyAlignment="1">
      <alignment horizontal="center" vertical="center"/>
    </xf>
    <xf numFmtId="0" fontId="27" fillId="5" borderId="0" xfId="0" applyFont="1" applyFill="1" applyAlignment="1">
      <alignment horizontal="center" vertical="center"/>
    </xf>
    <xf numFmtId="164" fontId="26" fillId="0" borderId="0" xfId="0" applyNumberFormat="1" applyFont="1" applyAlignment="1">
      <alignment vertical="center"/>
    </xf>
    <xf numFmtId="3" fontId="26" fillId="0" borderId="0" xfId="0" applyNumberFormat="1" applyFont="1" applyAlignment="1">
      <alignment vertical="center"/>
    </xf>
    <xf numFmtId="0" fontId="27" fillId="7" borderId="0" xfId="0" applyFont="1" applyFill="1" applyAlignment="1">
      <alignment horizontal="center" vertical="center"/>
    </xf>
    <xf numFmtId="0" fontId="26" fillId="0" borderId="10" xfId="0" applyFont="1" applyBorder="1" applyAlignment="1">
      <alignment vertical="center"/>
    </xf>
    <xf numFmtId="0" fontId="26" fillId="0" borderId="11" xfId="0" applyFont="1" applyBorder="1" applyAlignment="1">
      <alignment vertical="center"/>
    </xf>
    <xf numFmtId="0" fontId="26" fillId="0" borderId="12" xfId="0" applyFont="1" applyBorder="1" applyAlignment="1">
      <alignment vertical="center"/>
    </xf>
    <xf numFmtId="0" fontId="26" fillId="6" borderId="0" xfId="0" applyFont="1" applyFill="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168" fontId="14" fillId="2" borderId="0" xfId="0" applyNumberFormat="1" applyFont="1" applyFill="1" applyAlignment="1">
      <alignment vertical="center"/>
    </xf>
    <xf numFmtId="3" fontId="14" fillId="2" borderId="0" xfId="0" applyNumberFormat="1" applyFont="1" applyFill="1" applyAlignment="1">
      <alignment vertical="center"/>
    </xf>
    <xf numFmtId="0" fontId="21" fillId="2" borderId="39" xfId="0" applyFont="1" applyFill="1" applyBorder="1" applyAlignment="1">
      <alignment vertical="center"/>
    </xf>
    <xf numFmtId="0" fontId="21" fillId="2" borderId="0" xfId="0" applyFont="1" applyFill="1" applyAlignment="1">
      <alignment vertical="center"/>
    </xf>
    <xf numFmtId="0" fontId="29" fillId="2" borderId="38" xfId="0" applyFont="1" applyFill="1" applyBorder="1" applyAlignment="1">
      <alignment vertical="center"/>
    </xf>
    <xf numFmtId="0" fontId="29" fillId="2" borderId="39" xfId="0" applyFont="1" applyFill="1" applyBorder="1" applyAlignment="1">
      <alignment vertical="center"/>
    </xf>
    <xf numFmtId="0" fontId="29" fillId="2" borderId="49" xfId="0" applyFont="1" applyFill="1" applyBorder="1" applyAlignment="1">
      <alignment vertical="center"/>
    </xf>
    <xf numFmtId="0" fontId="29" fillId="2" borderId="41" xfId="0" applyFont="1" applyFill="1" applyBorder="1" applyAlignment="1">
      <alignment vertical="center"/>
    </xf>
    <xf numFmtId="0" fontId="29" fillId="2" borderId="4" xfId="0" applyFont="1" applyFill="1" applyBorder="1" applyAlignment="1">
      <alignment vertical="center"/>
    </xf>
    <xf numFmtId="0" fontId="29" fillId="2" borderId="0" xfId="0" applyFont="1" applyFill="1" applyAlignment="1">
      <alignment vertical="center"/>
    </xf>
    <xf numFmtId="0" fontId="29" fillId="2" borderId="48" xfId="0" applyFont="1" applyFill="1" applyBorder="1" applyAlignment="1">
      <alignment vertical="center"/>
    </xf>
    <xf numFmtId="0" fontId="29" fillId="2" borderId="6" xfId="0" applyFont="1" applyFill="1" applyBorder="1" applyAlignment="1">
      <alignment vertical="center"/>
    </xf>
    <xf numFmtId="0" fontId="29" fillId="2" borderId="10" xfId="0" applyFont="1" applyFill="1" applyBorder="1" applyAlignment="1">
      <alignment vertical="center"/>
    </xf>
    <xf numFmtId="0" fontId="29" fillId="2" borderId="11" xfId="0" applyFont="1" applyFill="1" applyBorder="1" applyAlignment="1">
      <alignment vertical="center"/>
    </xf>
    <xf numFmtId="0" fontId="29" fillId="2" borderId="12" xfId="0" applyFont="1" applyFill="1" applyBorder="1" applyAlignment="1">
      <alignment vertical="center"/>
    </xf>
    <xf numFmtId="0" fontId="22" fillId="2" borderId="1" xfId="0" applyFont="1" applyFill="1" applyBorder="1" applyAlignment="1">
      <alignment vertical="center"/>
    </xf>
    <xf numFmtId="0" fontId="29" fillId="2" borderId="2" xfId="0" applyFont="1" applyFill="1" applyBorder="1" applyAlignment="1">
      <alignment vertical="center"/>
    </xf>
    <xf numFmtId="0" fontId="29" fillId="2" borderId="3" xfId="0" applyFont="1" applyFill="1" applyBorder="1" applyAlignment="1">
      <alignment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4" xfId="0" applyFont="1" applyFill="1" applyBorder="1" applyAlignment="1">
      <alignment horizontal="left" vertical="center" indent="1"/>
    </xf>
    <xf numFmtId="0" fontId="29" fillId="2" borderId="23" xfId="0" applyFont="1" applyFill="1" applyBorder="1" applyAlignment="1">
      <alignment vertical="center"/>
    </xf>
    <xf numFmtId="0" fontId="29" fillId="2" borderId="66" xfId="0" applyFont="1" applyFill="1" applyBorder="1" applyAlignment="1">
      <alignment vertical="center"/>
    </xf>
    <xf numFmtId="0" fontId="29" fillId="2" borderId="4" xfId="0" applyFont="1" applyFill="1" applyBorder="1" applyAlignment="1">
      <alignment horizontal="center" vertical="center"/>
    </xf>
    <xf numFmtId="0" fontId="29" fillId="2" borderId="19" xfId="0" applyFont="1" applyFill="1" applyBorder="1" applyAlignment="1">
      <alignment horizontal="center" vertical="center"/>
    </xf>
    <xf numFmtId="3" fontId="29" fillId="2" borderId="4" xfId="0" applyNumberFormat="1" applyFont="1" applyFill="1" applyBorder="1" applyAlignment="1">
      <alignment horizontal="center" vertical="center"/>
    </xf>
    <xf numFmtId="3" fontId="29" fillId="2" borderId="19" xfId="0" applyNumberFormat="1" applyFont="1" applyFill="1" applyBorder="1" applyAlignment="1">
      <alignment horizontal="center" vertical="center"/>
    </xf>
    <xf numFmtId="3" fontId="29" fillId="2" borderId="0" xfId="0" applyNumberFormat="1" applyFont="1" applyFill="1" applyAlignment="1">
      <alignment vertical="center"/>
    </xf>
    <xf numFmtId="0" fontId="29" fillId="2" borderId="22" xfId="0" applyFont="1" applyFill="1" applyBorder="1" applyAlignment="1">
      <alignment vertical="center"/>
    </xf>
    <xf numFmtId="0" fontId="22" fillId="2" borderId="10"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4" xfId="0" applyFont="1" applyFill="1" applyBorder="1" applyAlignment="1">
      <alignment vertical="center"/>
    </xf>
    <xf numFmtId="0" fontId="22" fillId="2" borderId="6" xfId="0" applyFont="1" applyFill="1" applyBorder="1" applyAlignment="1">
      <alignment vertical="center"/>
    </xf>
    <xf numFmtId="0" fontId="21" fillId="2" borderId="6" xfId="0" applyFont="1" applyFill="1" applyBorder="1" applyAlignment="1">
      <alignment vertical="center"/>
    </xf>
    <xf numFmtId="10" fontId="21" fillId="2" borderId="0" xfId="1" applyNumberFormat="1" applyFont="1" applyFill="1" applyBorder="1" applyAlignment="1">
      <alignment horizontal="center" vertical="center"/>
    </xf>
    <xf numFmtId="0" fontId="21" fillId="2" borderId="11" xfId="0" applyFont="1" applyFill="1" applyBorder="1" applyAlignment="1">
      <alignment vertical="center"/>
    </xf>
    <xf numFmtId="0" fontId="21" fillId="2" borderId="12" xfId="0" applyFont="1" applyFill="1" applyBorder="1" applyAlignment="1">
      <alignment vertical="center"/>
    </xf>
    <xf numFmtId="167" fontId="29" fillId="2" borderId="0" xfId="1" applyNumberFormat="1" applyFont="1" applyFill="1" applyBorder="1" applyAlignment="1">
      <alignment horizontal="center" vertical="center"/>
    </xf>
    <xf numFmtId="9" fontId="22" fillId="2" borderId="36" xfId="0" applyNumberFormat="1" applyFont="1" applyFill="1" applyBorder="1" applyAlignment="1">
      <alignment horizontal="center" vertical="center"/>
    </xf>
    <xf numFmtId="0" fontId="22" fillId="2" borderId="4" xfId="0" applyFont="1" applyFill="1" applyBorder="1" applyAlignment="1">
      <alignment horizontal="left" vertical="center" indent="1"/>
    </xf>
    <xf numFmtId="0" fontId="22" fillId="2" borderId="10" xfId="0" applyFont="1" applyFill="1" applyBorder="1" applyAlignment="1">
      <alignment vertical="center"/>
    </xf>
    <xf numFmtId="0" fontId="22" fillId="2" borderId="37" xfId="0" applyFont="1" applyFill="1" applyBorder="1" applyAlignment="1">
      <alignment vertical="center"/>
    </xf>
    <xf numFmtId="9" fontId="22" fillId="2" borderId="37" xfId="0" applyNumberFormat="1" applyFont="1" applyFill="1" applyBorder="1" applyAlignment="1">
      <alignment horizontal="center" vertical="center"/>
    </xf>
    <xf numFmtId="1" fontId="16" fillId="2" borderId="36" xfId="0" applyNumberFormat="1" applyFont="1" applyFill="1" applyBorder="1" applyAlignment="1">
      <alignment horizontal="center" vertical="center"/>
    </xf>
    <xf numFmtId="0" fontId="29" fillId="2" borderId="45" xfId="0" applyFont="1" applyFill="1" applyBorder="1" applyAlignment="1">
      <alignment vertical="center"/>
    </xf>
    <xf numFmtId="0" fontId="16" fillId="9" borderId="17" xfId="0" applyFont="1" applyFill="1" applyBorder="1" applyAlignment="1">
      <alignment horizontal="center" vertical="center"/>
    </xf>
    <xf numFmtId="0" fontId="16" fillId="9" borderId="19" xfId="0" applyFont="1" applyFill="1" applyBorder="1" applyAlignment="1">
      <alignment horizontal="center" vertical="center"/>
    </xf>
    <xf numFmtId="1" fontId="16" fillId="9" borderId="36" xfId="0" applyNumberFormat="1" applyFont="1" applyFill="1" applyBorder="1" applyAlignment="1">
      <alignment horizontal="center" vertical="center"/>
    </xf>
    <xf numFmtId="9" fontId="16" fillId="9" borderId="36" xfId="0" applyNumberFormat="1" applyFont="1" applyFill="1" applyBorder="1" applyAlignment="1">
      <alignment horizontal="center" vertical="center"/>
    </xf>
    <xf numFmtId="0" fontId="29" fillId="2" borderId="36" xfId="0" applyFont="1" applyFill="1" applyBorder="1" applyAlignment="1">
      <alignment horizontal="center" vertical="center"/>
    </xf>
    <xf numFmtId="167" fontId="29" fillId="2" borderId="36" xfId="1" applyNumberFormat="1" applyFont="1" applyFill="1" applyBorder="1" applyAlignment="1">
      <alignment horizontal="center" vertical="center"/>
    </xf>
    <xf numFmtId="0" fontId="16" fillId="10" borderId="8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9" fontId="6" fillId="4" borderId="6" xfId="1" applyFont="1" applyFill="1" applyBorder="1" applyAlignment="1">
      <alignment horizontal="center" vertical="center"/>
    </xf>
    <xf numFmtId="9" fontId="6" fillId="8" borderId="6" xfId="1" applyFont="1" applyFill="1" applyBorder="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7" fillId="2" borderId="17" xfId="0" applyFont="1" applyFill="1" applyBorder="1" applyAlignment="1">
      <alignment horizontal="left" vertical="center"/>
    </xf>
    <xf numFmtId="0" fontId="16" fillId="10" borderId="57" xfId="0" applyFont="1" applyFill="1" applyBorder="1" applyAlignment="1">
      <alignment horizontal="center" vertical="center"/>
    </xf>
    <xf numFmtId="9" fontId="26" fillId="0" borderId="0" xfId="1" applyFont="1" applyBorder="1" applyAlignment="1">
      <alignment vertical="center"/>
    </xf>
    <xf numFmtId="0" fontId="30" fillId="2" borderId="0" xfId="0" applyFont="1" applyFill="1" applyAlignment="1">
      <alignment horizontal="right" vertical="center"/>
    </xf>
    <xf numFmtId="0" fontId="28" fillId="6" borderId="4"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87" xfId="0" applyFont="1" applyFill="1" applyBorder="1" applyAlignment="1">
      <alignment horizontal="center" vertical="center" wrapText="1"/>
    </xf>
    <xf numFmtId="0" fontId="28" fillId="6" borderId="31" xfId="0" applyFont="1" applyFill="1" applyBorder="1" applyAlignment="1">
      <alignment horizontal="center" vertical="center" wrapText="1"/>
    </xf>
    <xf numFmtId="0" fontId="28" fillId="6" borderId="32" xfId="0" applyFont="1" applyFill="1" applyBorder="1" applyAlignment="1">
      <alignment horizontal="center" vertical="center" wrapText="1"/>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3" xfId="0" applyFont="1" applyFill="1" applyBorder="1" applyAlignment="1">
      <alignment vertical="center"/>
    </xf>
    <xf numFmtId="0" fontId="26" fillId="2" borderId="4" xfId="0" applyFont="1" applyFill="1" applyBorder="1" applyAlignment="1">
      <alignment vertical="center"/>
    </xf>
    <xf numFmtId="0" fontId="26" fillId="2" borderId="10" xfId="0" applyFont="1" applyFill="1" applyBorder="1" applyAlignment="1">
      <alignment vertical="center"/>
    </xf>
    <xf numFmtId="0" fontId="26" fillId="2" borderId="11" xfId="0" applyFont="1" applyFill="1" applyBorder="1" applyAlignment="1">
      <alignment vertical="center"/>
    </xf>
    <xf numFmtId="0" fontId="26" fillId="2" borderId="12" xfId="0" applyFont="1" applyFill="1" applyBorder="1" applyAlignment="1">
      <alignment vertical="center"/>
    </xf>
    <xf numFmtId="0" fontId="26" fillId="0" borderId="0" xfId="0" applyFont="1"/>
    <xf numFmtId="0" fontId="26" fillId="2" borderId="0" xfId="0" applyFont="1" applyFill="1" applyAlignment="1">
      <alignment vertical="center"/>
    </xf>
    <xf numFmtId="0" fontId="26" fillId="2" borderId="6" xfId="0" applyFont="1" applyFill="1" applyBorder="1" applyAlignment="1">
      <alignment vertical="center"/>
    </xf>
    <xf numFmtId="0" fontId="28" fillId="6" borderId="7" xfId="0" applyFont="1" applyFill="1" applyBorder="1" applyAlignment="1">
      <alignment horizontal="center" vertical="center"/>
    </xf>
    <xf numFmtId="164" fontId="33" fillId="2" borderId="8" xfId="0" applyNumberFormat="1" applyFont="1" applyFill="1" applyBorder="1" applyAlignment="1">
      <alignment horizontal="center" vertical="center"/>
    </xf>
    <xf numFmtId="0" fontId="26" fillId="0" borderId="6" xfId="0" applyFont="1" applyBorder="1"/>
    <xf numFmtId="0" fontId="26" fillId="2" borderId="88" xfId="0" applyFont="1" applyFill="1" applyBorder="1" applyAlignment="1">
      <alignment vertical="center"/>
    </xf>
    <xf numFmtId="0" fontId="26" fillId="2" borderId="89" xfId="0" applyFont="1" applyFill="1" applyBorder="1" applyAlignment="1">
      <alignment vertical="center"/>
    </xf>
    <xf numFmtId="0" fontId="26" fillId="2" borderId="90" xfId="0" applyFont="1" applyFill="1" applyBorder="1" applyAlignment="1">
      <alignment vertical="center"/>
    </xf>
    <xf numFmtId="0" fontId="35" fillId="2" borderId="4" xfId="0" applyFont="1" applyFill="1" applyBorder="1" applyAlignment="1">
      <alignment vertical="center"/>
    </xf>
    <xf numFmtId="0" fontId="35" fillId="2" borderId="2" xfId="0" applyFont="1" applyFill="1" applyBorder="1" applyAlignment="1">
      <alignment horizontal="center" vertical="center"/>
    </xf>
    <xf numFmtId="3" fontId="35" fillId="2" borderId="0" xfId="0" applyNumberFormat="1" applyFont="1" applyFill="1" applyAlignment="1">
      <alignment horizontal="right" vertical="center" indent="1"/>
    </xf>
    <xf numFmtId="0" fontId="35" fillId="2" borderId="4" xfId="0" applyFont="1" applyFill="1" applyBorder="1" applyAlignment="1">
      <alignment horizontal="center" vertical="center"/>
    </xf>
    <xf numFmtId="0" fontId="35" fillId="2" borderId="0" xfId="0" applyFont="1" applyFill="1" applyAlignment="1">
      <alignment horizontal="center" vertical="center"/>
    </xf>
    <xf numFmtId="0" fontId="37" fillId="5" borderId="6" xfId="0" applyFont="1" applyFill="1" applyBorder="1" applyAlignment="1">
      <alignment horizontal="center" vertical="center"/>
    </xf>
    <xf numFmtId="3" fontId="37" fillId="5" borderId="6" xfId="0" applyNumberFormat="1" applyFont="1" applyFill="1" applyBorder="1" applyAlignment="1">
      <alignment horizontal="right" vertical="center" indent="1"/>
    </xf>
    <xf numFmtId="0" fontId="35" fillId="0" borderId="6" xfId="0" applyFont="1" applyBorder="1" applyAlignment="1">
      <alignment vertical="center"/>
    </xf>
    <xf numFmtId="3" fontId="37" fillId="2" borderId="6" xfId="0" applyNumberFormat="1" applyFont="1" applyFill="1" applyBorder="1" applyAlignment="1">
      <alignment horizontal="right" vertical="center" indent="1"/>
    </xf>
    <xf numFmtId="0" fontId="0" fillId="0" borderId="11" xfId="0" applyBorder="1"/>
    <xf numFmtId="0" fontId="31" fillId="0" borderId="0" xfId="0" applyFont="1"/>
    <xf numFmtId="0" fontId="38" fillId="0" borderId="0" xfId="0" applyFont="1"/>
    <xf numFmtId="0" fontId="31" fillId="0" borderId="0" xfId="0" applyFont="1" applyAlignment="1">
      <alignment horizontal="left"/>
    </xf>
    <xf numFmtId="9" fontId="31" fillId="0" borderId="0" xfId="0" applyNumberFormat="1" applyFont="1"/>
    <xf numFmtId="0" fontId="14" fillId="11" borderId="0" xfId="0" applyFont="1" applyFill="1" applyAlignment="1">
      <alignment vertical="center"/>
    </xf>
    <xf numFmtId="0" fontId="14" fillId="11" borderId="16" xfId="0" applyFont="1" applyFill="1" applyBorder="1" applyAlignment="1">
      <alignment vertical="center"/>
    </xf>
    <xf numFmtId="0" fontId="14" fillId="11" borderId="55" xfId="0" applyFont="1" applyFill="1" applyBorder="1" applyAlignment="1">
      <alignment vertical="center"/>
    </xf>
    <xf numFmtId="0" fontId="14" fillId="11" borderId="56" xfId="0" applyFont="1" applyFill="1" applyBorder="1" applyAlignment="1">
      <alignment vertical="center"/>
    </xf>
    <xf numFmtId="0" fontId="14" fillId="11" borderId="57" xfId="0" applyFont="1" applyFill="1" applyBorder="1" applyAlignment="1">
      <alignment vertical="center"/>
    </xf>
    <xf numFmtId="0" fontId="14" fillId="11" borderId="58" xfId="0" applyFont="1" applyFill="1" applyBorder="1" applyAlignment="1">
      <alignment vertical="center"/>
    </xf>
    <xf numFmtId="164" fontId="16" fillId="11" borderId="53" xfId="0" applyNumberFormat="1" applyFont="1" applyFill="1" applyBorder="1" applyAlignment="1">
      <alignment horizontal="center" vertical="center"/>
    </xf>
    <xf numFmtId="0" fontId="14" fillId="11" borderId="59" xfId="0" applyFont="1" applyFill="1" applyBorder="1" applyAlignment="1">
      <alignment vertical="center"/>
    </xf>
    <xf numFmtId="0" fontId="14" fillId="11" borderId="60" xfId="0" applyFont="1" applyFill="1" applyBorder="1" applyAlignment="1">
      <alignment vertical="center"/>
    </xf>
    <xf numFmtId="0" fontId="14" fillId="11" borderId="61" xfId="0" applyFont="1" applyFill="1" applyBorder="1" applyAlignment="1">
      <alignment vertical="center"/>
    </xf>
    <xf numFmtId="0" fontId="21" fillId="11" borderId="16" xfId="0" applyFont="1" applyFill="1" applyBorder="1" applyAlignment="1">
      <alignment horizontal="center" vertical="center"/>
    </xf>
    <xf numFmtId="0" fontId="21" fillId="11" borderId="55" xfId="0" applyFont="1" applyFill="1" applyBorder="1" applyAlignment="1">
      <alignment vertical="center"/>
    </xf>
    <xf numFmtId="0" fontId="21" fillId="11" borderId="77" xfId="0" applyFont="1" applyFill="1" applyBorder="1" applyAlignment="1">
      <alignment vertical="center"/>
    </xf>
    <xf numFmtId="0" fontId="21" fillId="11" borderId="56" xfId="0" applyFont="1" applyFill="1" applyBorder="1" applyAlignment="1">
      <alignment vertical="center"/>
    </xf>
    <xf numFmtId="0" fontId="21" fillId="11" borderId="57" xfId="0" applyFont="1" applyFill="1" applyBorder="1" applyAlignment="1">
      <alignment horizontal="center" vertical="center"/>
    </xf>
    <xf numFmtId="0" fontId="21" fillId="11" borderId="16" xfId="0" applyFont="1" applyFill="1" applyBorder="1" applyAlignment="1">
      <alignment vertical="center"/>
    </xf>
    <xf numFmtId="0" fontId="21" fillId="11" borderId="0" xfId="0" applyFont="1" applyFill="1" applyAlignment="1">
      <alignment vertical="center"/>
    </xf>
    <xf numFmtId="0" fontId="21" fillId="11" borderId="74" xfId="0" applyFont="1" applyFill="1" applyBorder="1" applyAlignment="1">
      <alignment vertical="center"/>
    </xf>
    <xf numFmtId="0" fontId="21" fillId="11" borderId="58" xfId="0" applyFont="1" applyFill="1" applyBorder="1" applyAlignment="1">
      <alignment vertical="center"/>
    </xf>
    <xf numFmtId="0" fontId="21" fillId="11" borderId="57" xfId="0" applyFont="1" applyFill="1" applyBorder="1" applyAlignment="1">
      <alignment vertical="center"/>
    </xf>
    <xf numFmtId="0" fontId="21" fillId="11" borderId="67" xfId="0" applyFont="1" applyFill="1" applyBorder="1" applyAlignment="1">
      <alignment vertical="center"/>
    </xf>
    <xf numFmtId="0" fontId="21" fillId="11" borderId="68" xfId="0" applyFont="1" applyFill="1" applyBorder="1" applyAlignment="1">
      <alignment vertical="center"/>
    </xf>
    <xf numFmtId="0" fontId="21" fillId="11" borderId="72" xfId="0" applyFont="1" applyFill="1" applyBorder="1" applyAlignment="1">
      <alignment vertical="center"/>
    </xf>
    <xf numFmtId="0" fontId="21" fillId="11" borderId="73" xfId="0" applyFont="1" applyFill="1" applyBorder="1" applyAlignment="1">
      <alignment vertical="center"/>
    </xf>
    <xf numFmtId="168" fontId="14" fillId="11" borderId="0" xfId="0" applyNumberFormat="1" applyFont="1" applyFill="1" applyAlignment="1">
      <alignment vertical="center"/>
    </xf>
    <xf numFmtId="3" fontId="14" fillId="11" borderId="0" xfId="0" applyNumberFormat="1" applyFont="1" applyFill="1" applyAlignment="1">
      <alignment vertical="center"/>
    </xf>
    <xf numFmtId="0" fontId="21" fillId="11" borderId="62" xfId="0" applyFont="1" applyFill="1" applyBorder="1" applyAlignment="1">
      <alignment vertical="center"/>
    </xf>
    <xf numFmtId="0" fontId="21" fillId="11" borderId="63" xfId="0" applyFont="1" applyFill="1" applyBorder="1" applyAlignment="1">
      <alignment vertical="center"/>
    </xf>
    <xf numFmtId="0" fontId="21" fillId="11" borderId="64" xfId="0" applyFont="1" applyFill="1" applyBorder="1" applyAlignment="1">
      <alignment vertical="center"/>
    </xf>
    <xf numFmtId="0" fontId="39" fillId="11" borderId="57" xfId="0" applyFont="1" applyFill="1" applyBorder="1" applyAlignment="1">
      <alignment vertical="center"/>
    </xf>
    <xf numFmtId="0" fontId="39" fillId="11" borderId="0" xfId="0" applyFont="1" applyFill="1" applyAlignment="1">
      <alignment vertical="center"/>
    </xf>
    <xf numFmtId="0" fontId="39" fillId="11" borderId="58" xfId="0" applyFont="1" applyFill="1" applyBorder="1" applyAlignment="1">
      <alignment vertical="center"/>
    </xf>
    <xf numFmtId="0" fontId="39" fillId="11" borderId="74" xfId="0" applyFont="1" applyFill="1" applyBorder="1" applyAlignment="1">
      <alignment vertical="center"/>
    </xf>
    <xf numFmtId="3" fontId="39" fillId="11" borderId="57" xfId="0" applyNumberFormat="1" applyFont="1" applyFill="1" applyBorder="1" applyAlignment="1">
      <alignment vertical="center"/>
    </xf>
    <xf numFmtId="0" fontId="21" fillId="11" borderId="59" xfId="0" applyFont="1" applyFill="1" applyBorder="1" applyAlignment="1">
      <alignment vertical="center"/>
    </xf>
    <xf numFmtId="0" fontId="21" fillId="11" borderId="60" xfId="0" applyFont="1" applyFill="1" applyBorder="1" applyAlignment="1">
      <alignment vertical="center"/>
    </xf>
    <xf numFmtId="0" fontId="21" fillId="11" borderId="61" xfId="0" applyFont="1" applyFill="1" applyBorder="1" applyAlignment="1">
      <alignment vertical="center"/>
    </xf>
    <xf numFmtId="0" fontId="21" fillId="11" borderId="70" xfId="0" applyFont="1" applyFill="1" applyBorder="1" applyAlignment="1">
      <alignment vertical="center"/>
    </xf>
    <xf numFmtId="0" fontId="21" fillId="11" borderId="78" xfId="0" applyFont="1" applyFill="1" applyBorder="1" applyAlignment="1">
      <alignment vertical="center"/>
    </xf>
    <xf numFmtId="0" fontId="21" fillId="11" borderId="75" xfId="0" applyFont="1" applyFill="1" applyBorder="1" applyAlignment="1">
      <alignment vertical="center"/>
    </xf>
    <xf numFmtId="0" fontId="21" fillId="11" borderId="76" xfId="0" applyFont="1" applyFill="1" applyBorder="1" applyAlignment="1">
      <alignment vertical="center"/>
    </xf>
    <xf numFmtId="0" fontId="16" fillId="11" borderId="16" xfId="0" applyFont="1" applyFill="1" applyBorder="1" applyAlignment="1">
      <alignment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21" fillId="11" borderId="79" xfId="0" applyFont="1" applyFill="1" applyBorder="1" applyAlignment="1">
      <alignment vertical="center"/>
    </xf>
    <xf numFmtId="0" fontId="21" fillId="11" borderId="80" xfId="0" applyFont="1" applyFill="1" applyBorder="1" applyAlignment="1">
      <alignment horizontal="center" vertical="center"/>
    </xf>
    <xf numFmtId="0" fontId="21" fillId="11" borderId="57" xfId="0" applyFont="1" applyFill="1" applyBorder="1" applyAlignment="1">
      <alignment horizontal="left" vertical="center" indent="1"/>
    </xf>
    <xf numFmtId="3" fontId="21" fillId="11" borderId="57" xfId="0" applyNumberFormat="1" applyFont="1" applyFill="1" applyBorder="1" applyAlignment="1">
      <alignment horizontal="center" vertical="center"/>
    </xf>
    <xf numFmtId="3" fontId="21" fillId="11" borderId="80" xfId="0" applyNumberFormat="1" applyFont="1" applyFill="1" applyBorder="1" applyAlignment="1">
      <alignment horizontal="center" vertical="center"/>
    </xf>
    <xf numFmtId="3" fontId="21" fillId="11" borderId="0" xfId="0" applyNumberFormat="1" applyFont="1" applyFill="1" applyAlignment="1">
      <alignment vertical="center"/>
    </xf>
    <xf numFmtId="10" fontId="39" fillId="11" borderId="0" xfId="1" applyNumberFormat="1" applyFont="1" applyFill="1" applyBorder="1" applyAlignment="1">
      <alignment horizontal="center" vertical="center"/>
    </xf>
    <xf numFmtId="0" fontId="21" fillId="11" borderId="81" xfId="0" applyFont="1" applyFill="1" applyBorder="1" applyAlignment="1">
      <alignment vertical="center"/>
    </xf>
    <xf numFmtId="0" fontId="16" fillId="11" borderId="59" xfId="0" applyFont="1" applyFill="1" applyBorder="1" applyAlignment="1">
      <alignment horizontal="center" vertical="center"/>
    </xf>
    <xf numFmtId="0" fontId="16" fillId="11" borderId="61" xfId="0" applyFont="1" applyFill="1" applyBorder="1" applyAlignment="1">
      <alignment horizontal="center" vertical="center"/>
    </xf>
    <xf numFmtId="0" fontId="39" fillId="11" borderId="60" xfId="0" applyFont="1" applyFill="1" applyBorder="1" applyAlignment="1">
      <alignment vertical="center"/>
    </xf>
    <xf numFmtId="0" fontId="39" fillId="11" borderId="61" xfId="0" applyFont="1" applyFill="1" applyBorder="1" applyAlignment="1">
      <alignment vertical="center"/>
    </xf>
    <xf numFmtId="0" fontId="21" fillId="11" borderId="31" xfId="0" applyFont="1" applyFill="1" applyBorder="1" applyAlignment="1">
      <alignment vertical="center"/>
    </xf>
    <xf numFmtId="1" fontId="40" fillId="11" borderId="65" xfId="0" applyNumberFormat="1" applyFont="1" applyFill="1" applyBorder="1" applyAlignment="1">
      <alignment horizontal="center" vertical="center"/>
    </xf>
    <xf numFmtId="9" fontId="25" fillId="11" borderId="65" xfId="0" applyNumberFormat="1" applyFont="1" applyFill="1" applyBorder="1" applyAlignment="1">
      <alignment horizontal="center" vertical="center"/>
    </xf>
    <xf numFmtId="167" fontId="39" fillId="11" borderId="0" xfId="1" applyNumberFormat="1" applyFont="1" applyFill="1" applyBorder="1" applyAlignment="1">
      <alignment horizontal="center" vertical="center"/>
    </xf>
    <xf numFmtId="0" fontId="16" fillId="11" borderId="57" xfId="0" applyFont="1" applyFill="1" applyBorder="1" applyAlignment="1">
      <alignment horizontal="left" vertical="center" indent="1"/>
    </xf>
    <xf numFmtId="0" fontId="16" fillId="11" borderId="65" xfId="0" applyFont="1" applyFill="1" applyBorder="1" applyAlignment="1">
      <alignment horizontal="center" vertical="center"/>
    </xf>
    <xf numFmtId="9" fontId="16" fillId="11" borderId="65" xfId="1" applyFont="1" applyFill="1" applyBorder="1" applyAlignment="1">
      <alignment horizontal="center" vertical="center"/>
    </xf>
    <xf numFmtId="0" fontId="40" fillId="11" borderId="59" xfId="0" applyFont="1" applyFill="1" applyBorder="1" applyAlignment="1">
      <alignment vertical="center"/>
    </xf>
    <xf numFmtId="0" fontId="23" fillId="11" borderId="61" xfId="0" applyFont="1" applyFill="1" applyBorder="1" applyAlignment="1">
      <alignment vertical="center"/>
    </xf>
    <xf numFmtId="0" fontId="23" fillId="11" borderId="0" xfId="0" applyFont="1" applyFill="1" applyAlignment="1">
      <alignment vertical="center"/>
    </xf>
    <xf numFmtId="0" fontId="25" fillId="11" borderId="54" xfId="0" applyFont="1" applyFill="1" applyBorder="1" applyAlignment="1">
      <alignment vertical="center"/>
    </xf>
    <xf numFmtId="9" fontId="25" fillId="11" borderId="54" xfId="0" applyNumberFormat="1" applyFont="1" applyFill="1" applyBorder="1" applyAlignment="1">
      <alignment horizontal="center" vertical="center"/>
    </xf>
    <xf numFmtId="14" fontId="41" fillId="12" borderId="93" xfId="0" applyNumberFormat="1" applyFont="1" applyFill="1" applyBorder="1" applyAlignment="1">
      <alignment vertical="center" wrapText="1"/>
    </xf>
    <xf numFmtId="0" fontId="41" fillId="12" borderId="93" xfId="0" applyFont="1" applyFill="1" applyBorder="1" applyAlignment="1">
      <alignment horizontal="right" vertical="center" wrapText="1"/>
    </xf>
    <xf numFmtId="164" fontId="42" fillId="0" borderId="0" xfId="0" applyNumberFormat="1" applyFont="1" applyAlignment="1">
      <alignment vertical="center"/>
    </xf>
    <xf numFmtId="3" fontId="42" fillId="0" borderId="0" xfId="0" applyNumberFormat="1" applyFont="1" applyAlignment="1">
      <alignment vertical="center"/>
    </xf>
    <xf numFmtId="3" fontId="42" fillId="0" borderId="0" xfId="1" applyNumberFormat="1" applyFont="1" applyBorder="1" applyAlignment="1">
      <alignment vertical="center"/>
    </xf>
    <xf numFmtId="9" fontId="42" fillId="0" borderId="0" xfId="1" applyFont="1" applyBorder="1" applyAlignment="1">
      <alignment vertical="center"/>
    </xf>
    <xf numFmtId="2" fontId="6" fillId="0" borderId="0" xfId="0" applyNumberFormat="1" applyFont="1" applyAlignment="1">
      <alignment vertical="center"/>
    </xf>
    <xf numFmtId="10" fontId="8" fillId="0" borderId="0" xfId="1" applyNumberFormat="1" applyFont="1" applyFill="1" applyBorder="1" applyAlignment="1">
      <alignment horizontal="center" vertical="center"/>
    </xf>
    <xf numFmtId="0" fontId="6" fillId="0" borderId="12" xfId="0" applyFont="1" applyBorder="1" applyAlignment="1">
      <alignment vertical="center"/>
    </xf>
    <xf numFmtId="4" fontId="6" fillId="2" borderId="10" xfId="0" applyNumberFormat="1" applyFont="1" applyFill="1" applyBorder="1" applyAlignment="1">
      <alignment horizontal="right" vertical="center" indent="1"/>
    </xf>
    <xf numFmtId="14" fontId="6" fillId="0" borderId="0" xfId="0" applyNumberFormat="1" applyFont="1" applyAlignment="1">
      <alignment vertical="center"/>
    </xf>
    <xf numFmtId="14" fontId="41" fillId="13" borderId="93" xfId="0" applyNumberFormat="1" applyFont="1" applyFill="1" applyBorder="1" applyAlignment="1">
      <alignment vertical="center" wrapText="1"/>
    </xf>
    <xf numFmtId="0" fontId="41" fillId="13" borderId="93" xfId="0" applyFont="1" applyFill="1" applyBorder="1" applyAlignment="1">
      <alignment horizontal="right" vertical="center" wrapText="1"/>
    </xf>
    <xf numFmtId="0" fontId="8" fillId="2" borderId="48"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12" xfId="0" applyFont="1" applyFill="1" applyBorder="1" applyAlignment="1">
      <alignment horizontal="center" vertical="center"/>
    </xf>
    <xf numFmtId="4" fontId="6" fillId="2" borderId="12" xfId="0" applyNumberFormat="1" applyFont="1" applyFill="1" applyBorder="1" applyAlignment="1">
      <alignment horizontal="right" vertical="center" indent="1"/>
    </xf>
    <xf numFmtId="0" fontId="24" fillId="2" borderId="0" xfId="0" applyFont="1" applyFill="1" applyAlignment="1">
      <alignment vertical="center"/>
    </xf>
    <xf numFmtId="164" fontId="6" fillId="2" borderId="2" xfId="0" applyNumberFormat="1" applyFont="1" applyFill="1" applyBorder="1" applyAlignment="1">
      <alignment horizontal="center" vertical="center"/>
    </xf>
    <xf numFmtId="4" fontId="6" fillId="2" borderId="2" xfId="0" applyNumberFormat="1" applyFont="1" applyFill="1" applyBorder="1" applyAlignment="1">
      <alignment horizontal="right" vertical="center" indent="1"/>
    </xf>
    <xf numFmtId="167" fontId="6" fillId="4" borderId="22" xfId="1" applyNumberFormat="1" applyFont="1" applyFill="1" applyBorder="1" applyAlignment="1">
      <alignment horizontal="center" vertical="center"/>
    </xf>
    <xf numFmtId="10" fontId="6" fillId="8" borderId="22" xfId="1" applyNumberFormat="1" applyFont="1" applyFill="1" applyBorder="1" applyAlignment="1">
      <alignment horizontal="center" vertical="center"/>
    </xf>
    <xf numFmtId="0" fontId="6" fillId="4" borderId="0" xfId="0" applyFont="1" applyFill="1" applyAlignment="1">
      <alignment horizontal="center" vertical="center"/>
    </xf>
    <xf numFmtId="0" fontId="2" fillId="3" borderId="4" xfId="0" applyFont="1" applyFill="1" applyBorder="1" applyAlignment="1">
      <alignment horizontal="center" vertical="center"/>
    </xf>
    <xf numFmtId="0" fontId="2" fillId="3" borderId="6" xfId="0" applyFont="1" applyFill="1" applyBorder="1" applyAlignment="1">
      <alignment horizontal="center" vertical="center"/>
    </xf>
    <xf numFmtId="0" fontId="43" fillId="2" borderId="4" xfId="0" applyFont="1" applyFill="1" applyBorder="1" applyAlignment="1">
      <alignment vertical="center"/>
    </xf>
    <xf numFmtId="0" fontId="43" fillId="2" borderId="4" xfId="0" applyFont="1" applyFill="1" applyBorder="1" applyAlignment="1">
      <alignment horizontal="center" vertical="center"/>
    </xf>
    <xf numFmtId="0" fontId="44" fillId="5" borderId="6" xfId="0" applyFont="1" applyFill="1" applyBorder="1" applyAlignment="1">
      <alignment horizontal="center" vertical="center"/>
    </xf>
    <xf numFmtId="170" fontId="0" fillId="0" borderId="0" xfId="0" applyNumberFormat="1"/>
    <xf numFmtId="0" fontId="6" fillId="2" borderId="18" xfId="0" applyFont="1" applyFill="1" applyBorder="1" applyAlignment="1">
      <alignment horizontal="center" vertical="center"/>
    </xf>
    <xf numFmtId="10" fontId="6" fillId="0" borderId="0" xfId="1" applyNumberFormat="1" applyFont="1" applyAlignment="1">
      <alignment vertical="center"/>
    </xf>
    <xf numFmtId="2" fontId="6" fillId="0" borderId="0" xfId="1" applyNumberFormat="1" applyFont="1" applyAlignment="1">
      <alignment vertical="center"/>
    </xf>
    <xf numFmtId="0" fontId="45" fillId="2" borderId="83" xfId="0" applyFont="1" applyFill="1" applyBorder="1" applyAlignment="1">
      <alignment horizontal="center" vertical="center"/>
    </xf>
    <xf numFmtId="0" fontId="45" fillId="2" borderId="84" xfId="0" applyFont="1" applyFill="1" applyBorder="1" applyAlignment="1">
      <alignment horizontal="center" vertical="center"/>
    </xf>
    <xf numFmtId="3" fontId="45" fillId="2" borderId="84" xfId="0" applyNumberFormat="1" applyFont="1" applyFill="1" applyBorder="1" applyAlignment="1">
      <alignment horizontal="right" vertical="center" indent="1"/>
    </xf>
    <xf numFmtId="0" fontId="6" fillId="0" borderId="4" xfId="0" applyFont="1" applyBorder="1" applyAlignment="1">
      <alignment vertical="center"/>
    </xf>
    <xf numFmtId="9" fontId="26" fillId="0" borderId="0" xfId="1" applyFont="1" applyAlignment="1">
      <alignment vertical="center"/>
    </xf>
    <xf numFmtId="0" fontId="6" fillId="0" borderId="0" xfId="0" applyFont="1" applyAlignment="1">
      <alignment horizontal="center" vertical="center"/>
    </xf>
    <xf numFmtId="4" fontId="6" fillId="2" borderId="0" xfId="0" applyNumberFormat="1" applyFont="1" applyFill="1" applyAlignment="1">
      <alignment horizontal="center" vertical="center"/>
    </xf>
    <xf numFmtId="4" fontId="6" fillId="2" borderId="18" xfId="0" applyNumberFormat="1" applyFont="1" applyFill="1" applyBorder="1" applyAlignment="1">
      <alignment horizontal="right" vertical="center"/>
    </xf>
    <xf numFmtId="4" fontId="6" fillId="2" borderId="0" xfId="0" applyNumberFormat="1" applyFont="1" applyFill="1" applyAlignment="1">
      <alignment horizontal="right" vertical="center"/>
    </xf>
    <xf numFmtId="0" fontId="6" fillId="0" borderId="0" xfId="0" applyFont="1" applyAlignment="1">
      <alignment horizontal="right" vertical="center"/>
    </xf>
    <xf numFmtId="2" fontId="6" fillId="0" borderId="0" xfId="0" applyNumberFormat="1" applyFont="1" applyAlignment="1">
      <alignment horizontal="right" vertical="center"/>
    </xf>
    <xf numFmtId="4" fontId="6" fillId="2" borderId="24" xfId="0" applyNumberFormat="1" applyFont="1" applyFill="1" applyBorder="1" applyAlignment="1">
      <alignment horizontal="right" vertical="center" indent="1"/>
    </xf>
    <xf numFmtId="4" fontId="6" fillId="2" borderId="6" xfId="0" applyNumberFormat="1" applyFont="1" applyFill="1" applyBorder="1" applyAlignment="1">
      <alignment horizontal="right" vertical="center" indent="1"/>
    </xf>
    <xf numFmtId="3" fontId="26" fillId="0" borderId="0" xfId="1" applyNumberFormat="1" applyFont="1" applyBorder="1" applyAlignment="1">
      <alignment vertical="center"/>
    </xf>
    <xf numFmtId="0" fontId="42" fillId="0" borderId="0" xfId="0" applyFont="1" applyAlignment="1">
      <alignment vertical="center"/>
    </xf>
    <xf numFmtId="171" fontId="8" fillId="2" borderId="0" xfId="3" applyNumberFormat="1" applyFont="1" applyFill="1" applyBorder="1" applyAlignment="1">
      <alignment horizontal="center" vertical="center"/>
    </xf>
    <xf numFmtId="0" fontId="35" fillId="2" borderId="6" xfId="0" applyFont="1" applyFill="1" applyBorder="1" applyAlignment="1">
      <alignment vertical="center"/>
    </xf>
    <xf numFmtId="3" fontId="37" fillId="5" borderId="3" xfId="0" applyNumberFormat="1" applyFont="1" applyFill="1" applyBorder="1" applyAlignment="1">
      <alignment horizontal="right" vertical="center" indent="1"/>
    </xf>
    <xf numFmtId="3" fontId="36" fillId="2" borderId="6" xfId="0" applyNumberFormat="1" applyFont="1" applyFill="1" applyBorder="1" applyAlignment="1">
      <alignment horizontal="right" vertical="center" indent="1"/>
    </xf>
    <xf numFmtId="0" fontId="27" fillId="10" borderId="12" xfId="0" applyFont="1" applyFill="1" applyBorder="1" applyAlignment="1">
      <alignment horizontal="center" vertical="center"/>
    </xf>
    <xf numFmtId="0" fontId="27" fillId="10" borderId="37" xfId="0" applyFont="1" applyFill="1" applyBorder="1" applyAlignment="1">
      <alignment horizontal="center" vertical="center"/>
    </xf>
    <xf numFmtId="0" fontId="27" fillId="10" borderId="37"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0" fillId="0" borderId="9" xfId="0" applyBorder="1"/>
    <xf numFmtId="0" fontId="26" fillId="0" borderId="8" xfId="0" applyFont="1" applyBorder="1" applyAlignment="1">
      <alignment vertical="center"/>
    </xf>
    <xf numFmtId="0" fontId="26" fillId="0" borderId="8" xfId="0" applyFont="1" applyBorder="1" applyAlignment="1">
      <alignment horizontal="center" vertical="center"/>
    </xf>
    <xf numFmtId="0" fontId="42" fillId="0" borderId="8" xfId="0" applyFont="1" applyBorder="1" applyAlignment="1">
      <alignment vertical="center"/>
    </xf>
    <xf numFmtId="0" fontId="0" fillId="0" borderId="3" xfId="0" applyBorder="1"/>
    <xf numFmtId="0" fontId="26" fillId="0" borderId="45" xfId="0" applyFont="1" applyBorder="1" applyAlignment="1">
      <alignment vertical="center"/>
    </xf>
    <xf numFmtId="0" fontId="26" fillId="0" borderId="45" xfId="0" applyFont="1" applyBorder="1" applyAlignment="1">
      <alignment horizontal="center" vertical="center"/>
    </xf>
    <xf numFmtId="164" fontId="26" fillId="0" borderId="8" xfId="0" applyNumberFormat="1" applyFont="1" applyBorder="1" applyAlignment="1">
      <alignment horizontal="center" vertical="center"/>
    </xf>
    <xf numFmtId="3" fontId="26" fillId="0" borderId="7" xfId="0" applyNumberFormat="1" applyFont="1" applyBorder="1" applyAlignment="1">
      <alignment horizontal="center" vertical="center"/>
    </xf>
    <xf numFmtId="164"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164" fontId="26" fillId="0" borderId="45" xfId="0" applyNumberFormat="1" applyFont="1" applyBorder="1" applyAlignment="1">
      <alignment horizontal="center" vertical="center"/>
    </xf>
    <xf numFmtId="3" fontId="26" fillId="0" borderId="1" xfId="0" applyNumberFormat="1" applyFont="1" applyBorder="1" applyAlignment="1">
      <alignment horizontal="center" vertical="center"/>
    </xf>
    <xf numFmtId="3" fontId="6" fillId="2" borderId="21" xfId="0" applyNumberFormat="1" applyFont="1" applyFill="1" applyBorder="1" applyAlignment="1">
      <alignment vertical="center"/>
    </xf>
    <xf numFmtId="0" fontId="8" fillId="2" borderId="94" xfId="0" applyFont="1" applyFill="1" applyBorder="1" applyAlignment="1">
      <alignment horizontal="left" vertical="center"/>
    </xf>
    <xf numFmtId="0" fontId="2" fillId="5" borderId="56" xfId="0" applyFont="1" applyFill="1" applyBorder="1" applyAlignment="1">
      <alignment horizontal="center" vertical="center"/>
    </xf>
    <xf numFmtId="4" fontId="8" fillId="2" borderId="0" xfId="0" applyNumberFormat="1" applyFont="1" applyFill="1" applyAlignment="1">
      <alignment horizontal="right" vertical="center" indent="1"/>
    </xf>
    <xf numFmtId="0" fontId="2" fillId="5" borderId="33" xfId="0" applyFont="1" applyFill="1" applyBorder="1" applyAlignment="1">
      <alignment horizontal="center" vertical="center"/>
    </xf>
    <xf numFmtId="0" fontId="2" fillId="5" borderId="34" xfId="0" applyFont="1" applyFill="1" applyBorder="1" applyAlignment="1">
      <alignment horizontal="center" vertical="center"/>
    </xf>
    <xf numFmtId="0" fontId="2" fillId="5" borderId="35" xfId="0" applyFont="1" applyFill="1" applyBorder="1" applyAlignment="1">
      <alignment horizontal="center" vertical="center"/>
    </xf>
    <xf numFmtId="0" fontId="6" fillId="0" borderId="6" xfId="0" applyFont="1" applyBorder="1" applyAlignment="1">
      <alignment vertical="center"/>
    </xf>
    <xf numFmtId="0" fontId="2" fillId="2" borderId="1" xfId="0" applyFont="1" applyFill="1" applyBorder="1" applyAlignment="1">
      <alignment horizontal="left" vertical="center"/>
    </xf>
    <xf numFmtId="0" fontId="6" fillId="2" borderId="3" xfId="0" applyFont="1" applyFill="1" applyBorder="1" applyAlignment="1">
      <alignment horizontal="center" vertical="center"/>
    </xf>
    <xf numFmtId="0" fontId="2" fillId="2" borderId="7" xfId="0" applyFont="1" applyFill="1" applyBorder="1" applyAlignment="1">
      <alignment horizontal="left" vertical="center"/>
    </xf>
    <xf numFmtId="0" fontId="6" fillId="2" borderId="5" xfId="0" applyFont="1" applyFill="1" applyBorder="1" applyAlignment="1">
      <alignment horizontal="center" vertical="center"/>
    </xf>
    <xf numFmtId="0" fontId="8" fillId="2" borderId="1"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6" xfId="0" applyFont="1" applyFill="1" applyBorder="1" applyAlignment="1">
      <alignment horizontal="left" vertical="center"/>
    </xf>
    <xf numFmtId="0" fontId="8" fillId="2" borderId="12" xfId="0" applyFont="1" applyFill="1" applyBorder="1" applyAlignment="1">
      <alignment horizontal="left" vertical="center"/>
    </xf>
    <xf numFmtId="0" fontId="6" fillId="2" borderId="82" xfId="0" applyFont="1" applyFill="1" applyBorder="1" applyAlignment="1">
      <alignment vertical="center"/>
    </xf>
    <xf numFmtId="0" fontId="6" fillId="2" borderId="9" xfId="0" applyFont="1" applyFill="1" applyBorder="1" applyAlignment="1">
      <alignment vertical="center"/>
    </xf>
    <xf numFmtId="0" fontId="8" fillId="2" borderId="10" xfId="0" applyFont="1" applyFill="1" applyBorder="1" applyAlignment="1">
      <alignment horizontal="left" vertical="center"/>
    </xf>
    <xf numFmtId="0" fontId="6" fillId="2" borderId="7" xfId="0" applyFont="1" applyFill="1" applyBorder="1" applyAlignment="1">
      <alignment horizontal="center" vertical="center"/>
    </xf>
    <xf numFmtId="3" fontId="6" fillId="2" borderId="26" xfId="0" applyNumberFormat="1" applyFont="1" applyFill="1" applyBorder="1" applyAlignment="1">
      <alignment horizontal="center" vertical="center"/>
    </xf>
    <xf numFmtId="0" fontId="16" fillId="9" borderId="4" xfId="0" applyFont="1" applyFill="1" applyBorder="1" applyAlignment="1">
      <alignment horizontal="center" vertical="center"/>
    </xf>
    <xf numFmtId="43" fontId="26" fillId="0" borderId="0" xfId="3" applyFont="1" applyAlignment="1">
      <alignment vertical="center"/>
    </xf>
    <xf numFmtId="43" fontId="0" fillId="0" borderId="0" xfId="3" applyFont="1" applyAlignment="1">
      <alignment horizontal="center"/>
    </xf>
    <xf numFmtId="171" fontId="46" fillId="2" borderId="2" xfId="3" applyNumberFormat="1" applyFont="1" applyFill="1" applyBorder="1" applyAlignment="1">
      <alignment vertical="center"/>
    </xf>
    <xf numFmtId="171" fontId="46" fillId="2" borderId="0" xfId="3" applyNumberFormat="1" applyFont="1" applyFill="1" applyBorder="1" applyAlignment="1">
      <alignment vertical="center"/>
    </xf>
    <xf numFmtId="171" fontId="46" fillId="2" borderId="11" xfId="3" applyNumberFormat="1" applyFont="1" applyFill="1" applyBorder="1" applyAlignment="1">
      <alignment vertical="center"/>
    </xf>
    <xf numFmtId="171" fontId="46" fillId="6" borderId="5" xfId="3" applyNumberFormat="1" applyFont="1" applyFill="1" applyBorder="1" applyAlignment="1">
      <alignment horizontal="right" vertical="center"/>
    </xf>
    <xf numFmtId="171" fontId="46" fillId="2" borderId="0" xfId="3" applyNumberFormat="1" applyFont="1" applyFill="1" applyBorder="1" applyAlignment="1">
      <alignment horizontal="right" vertical="center"/>
    </xf>
    <xf numFmtId="171" fontId="46" fillId="2" borderId="24" xfId="3" applyNumberFormat="1" applyFont="1" applyFill="1" applyBorder="1" applyAlignment="1">
      <alignment horizontal="right" vertical="center"/>
    </xf>
    <xf numFmtId="171" fontId="46" fillId="2" borderId="24" xfId="3" applyNumberFormat="1" applyFont="1" applyFill="1" applyBorder="1" applyAlignment="1">
      <alignment vertical="center"/>
    </xf>
    <xf numFmtId="171" fontId="46" fillId="2" borderId="26" xfId="3" applyNumberFormat="1" applyFont="1" applyFill="1" applyBorder="1" applyAlignment="1">
      <alignment vertical="center"/>
    </xf>
    <xf numFmtId="171" fontId="46" fillId="2" borderId="2" xfId="3" applyNumberFormat="1" applyFont="1" applyFill="1" applyBorder="1" applyAlignment="1">
      <alignment horizontal="right" vertical="center"/>
    </xf>
    <xf numFmtId="171" fontId="46" fillId="2" borderId="48" xfId="3" applyNumberFormat="1" applyFont="1" applyFill="1" applyBorder="1" applyAlignment="1">
      <alignment horizontal="right" vertical="center"/>
    </xf>
    <xf numFmtId="171" fontId="46" fillId="0" borderId="0" xfId="3" applyNumberFormat="1" applyFont="1" applyAlignment="1">
      <alignment vertical="center"/>
    </xf>
    <xf numFmtId="3" fontId="26" fillId="0" borderId="7" xfId="0" applyNumberFormat="1" applyFont="1" applyBorder="1" applyAlignment="1">
      <alignment vertical="center"/>
    </xf>
    <xf numFmtId="3" fontId="26" fillId="0" borderId="1" xfId="0" applyNumberFormat="1" applyFont="1" applyBorder="1" applyAlignment="1">
      <alignment vertical="center"/>
    </xf>
    <xf numFmtId="0" fontId="29" fillId="2" borderId="1" xfId="0" applyFont="1" applyFill="1" applyBorder="1" applyAlignment="1">
      <alignment vertical="center"/>
    </xf>
    <xf numFmtId="0" fontId="16" fillId="9" borderId="36" xfId="0" applyFont="1" applyFill="1" applyBorder="1" applyAlignment="1">
      <alignment horizontal="center" vertical="center"/>
    </xf>
    <xf numFmtId="0" fontId="29" fillId="2" borderId="37" xfId="0" applyFont="1" applyFill="1" applyBorder="1" applyAlignment="1">
      <alignment vertical="center"/>
    </xf>
    <xf numFmtId="3" fontId="42" fillId="0" borderId="7" xfId="0" applyNumberFormat="1" applyFont="1" applyBorder="1" applyAlignment="1">
      <alignment vertical="center"/>
    </xf>
    <xf numFmtId="2" fontId="27" fillId="10" borderId="37" xfId="0" applyNumberFormat="1" applyFont="1" applyFill="1" applyBorder="1" applyAlignment="1">
      <alignment horizontal="center" vertical="center" wrapText="1"/>
    </xf>
    <xf numFmtId="9" fontId="26" fillId="0" borderId="8" xfId="1" applyFont="1" applyBorder="1" applyAlignment="1">
      <alignment vertical="center"/>
    </xf>
    <xf numFmtId="9" fontId="42" fillId="0" borderId="8" xfId="1" applyFont="1" applyBorder="1" applyAlignment="1">
      <alignment vertical="center"/>
    </xf>
    <xf numFmtId="0" fontId="0" fillId="0" borderId="5" xfId="0" applyBorder="1"/>
    <xf numFmtId="0" fontId="42" fillId="0" borderId="8" xfId="0" applyFont="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3" fontId="42" fillId="0" borderId="1" xfId="0" applyNumberFormat="1" applyFont="1" applyBorder="1" applyAlignment="1">
      <alignment horizontal="center" vertical="center"/>
    </xf>
    <xf numFmtId="0" fontId="27" fillId="14" borderId="10" xfId="0" applyFont="1" applyFill="1" applyBorder="1" applyAlignment="1">
      <alignment horizontal="center" vertical="center" wrapText="1"/>
    </xf>
    <xf numFmtId="43" fontId="26" fillId="0" borderId="8" xfId="3" applyFont="1" applyBorder="1" applyAlignment="1">
      <alignment vertical="center"/>
    </xf>
    <xf numFmtId="0" fontId="2" fillId="3" borderId="2" xfId="0" applyFont="1" applyFill="1" applyBorder="1" applyAlignment="1">
      <alignment horizontal="center" vertical="center"/>
    </xf>
    <xf numFmtId="4" fontId="2" fillId="0" borderId="0" xfId="0" applyNumberFormat="1" applyFont="1" applyAlignment="1">
      <alignment horizontal="center" vertical="center"/>
    </xf>
    <xf numFmtId="9" fontId="26" fillId="0" borderId="45" xfId="0" applyNumberFormat="1" applyFont="1" applyBorder="1" applyAlignment="1">
      <alignment horizontal="center" vertical="center"/>
    </xf>
    <xf numFmtId="0" fontId="26" fillId="0" borderId="1" xfId="0" applyFont="1" applyBorder="1" applyAlignment="1">
      <alignment horizontal="center" vertical="center"/>
    </xf>
    <xf numFmtId="9" fontId="47" fillId="0" borderId="8" xfId="1" applyFont="1" applyBorder="1" applyAlignment="1">
      <alignment vertical="center"/>
    </xf>
    <xf numFmtId="164" fontId="47" fillId="0" borderId="8" xfId="0" applyNumberFormat="1" applyFont="1" applyBorder="1" applyAlignment="1">
      <alignment horizontal="center" vertical="center"/>
    </xf>
    <xf numFmtId="3" fontId="47" fillId="0" borderId="7" xfId="0" applyNumberFormat="1" applyFont="1" applyBorder="1" applyAlignment="1">
      <alignment horizontal="center" vertical="center"/>
    </xf>
    <xf numFmtId="3" fontId="47" fillId="0" borderId="7" xfId="0" applyNumberFormat="1" applyFont="1" applyBorder="1" applyAlignment="1">
      <alignment vertical="center"/>
    </xf>
    <xf numFmtId="1" fontId="8" fillId="0" borderId="0" xfId="3" applyNumberFormat="1" applyFont="1" applyFill="1" applyBorder="1" applyAlignment="1">
      <alignment horizontal="center" vertical="center"/>
    </xf>
    <xf numFmtId="0" fontId="2" fillId="7" borderId="4" xfId="0" applyFont="1" applyFill="1" applyBorder="1" applyAlignment="1">
      <alignment horizontal="center" vertical="center"/>
    </xf>
    <xf numFmtId="0" fontId="2" fillId="7" borderId="0" xfId="0" applyFont="1" applyFill="1" applyAlignment="1">
      <alignment horizontal="center" vertical="center"/>
    </xf>
    <xf numFmtId="0" fontId="2" fillId="7" borderId="6" xfId="0" applyFont="1" applyFill="1" applyBorder="1" applyAlignment="1">
      <alignment horizontal="center" vertical="center"/>
    </xf>
    <xf numFmtId="164" fontId="30" fillId="2" borderId="0" xfId="0" applyNumberFormat="1" applyFont="1" applyFill="1" applyAlignment="1">
      <alignment horizontal="right" vertical="center"/>
    </xf>
    <xf numFmtId="0" fontId="35" fillId="2" borderId="1" xfId="0" applyFont="1" applyFill="1" applyBorder="1" applyAlignment="1">
      <alignment horizontal="center" vertical="center"/>
    </xf>
    <xf numFmtId="0" fontId="37" fillId="5" borderId="3" xfId="0" applyFont="1" applyFill="1" applyBorder="1" applyAlignment="1">
      <alignment horizontal="center" vertical="center"/>
    </xf>
    <xf numFmtId="0" fontId="48" fillId="2" borderId="4" xfId="0" applyFont="1" applyFill="1" applyBorder="1" applyAlignment="1">
      <alignment vertical="center"/>
    </xf>
    <xf numFmtId="0" fontId="28" fillId="6" borderId="83" xfId="0" applyFont="1" applyFill="1" applyBorder="1" applyAlignment="1">
      <alignment horizontal="center" vertical="center"/>
    </xf>
    <xf numFmtId="0" fontId="28" fillId="6" borderId="85" xfId="0" applyFont="1" applyFill="1" applyBorder="1" applyAlignment="1">
      <alignment horizontal="center" vertical="center"/>
    </xf>
    <xf numFmtId="3" fontId="28" fillId="6" borderId="85" xfId="0" applyNumberFormat="1" applyFont="1" applyFill="1" applyBorder="1" applyAlignment="1">
      <alignment horizontal="right" vertical="center" indent="1"/>
    </xf>
    <xf numFmtId="0" fontId="49" fillId="0" borderId="0" xfId="0" applyFont="1"/>
    <xf numFmtId="10" fontId="49" fillId="0" borderId="0" xfId="0" applyNumberFormat="1" applyFont="1"/>
    <xf numFmtId="9" fontId="49" fillId="0" borderId="0" xfId="0" applyNumberFormat="1" applyFont="1"/>
    <xf numFmtId="4" fontId="49" fillId="0" borderId="0" xfId="0" applyNumberFormat="1" applyFont="1"/>
    <xf numFmtId="9" fontId="26" fillId="0" borderId="45" xfId="1" applyFont="1" applyBorder="1" applyAlignment="1">
      <alignment vertical="center"/>
    </xf>
    <xf numFmtId="0" fontId="20" fillId="2" borderId="7"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9"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5" xfId="0" applyFont="1" applyFill="1" applyBorder="1" applyAlignment="1">
      <alignment horizontal="center" vertical="center"/>
    </xf>
    <xf numFmtId="0" fontId="18" fillId="6" borderId="9" xfId="0" applyFont="1" applyFill="1" applyBorder="1" applyAlignment="1">
      <alignment horizontal="center" vertical="center"/>
    </xf>
    <xf numFmtId="0" fontId="19" fillId="6" borderId="4" xfId="0" applyFont="1" applyFill="1" applyBorder="1" applyAlignment="1">
      <alignment horizontal="center" vertical="center"/>
    </xf>
    <xf numFmtId="0" fontId="19" fillId="6" borderId="0" xfId="0" applyFont="1" applyFill="1" applyAlignment="1">
      <alignment horizontal="center" vertical="center"/>
    </xf>
    <xf numFmtId="0" fontId="19" fillId="6" borderId="6" xfId="0" applyFont="1" applyFill="1" applyBorder="1" applyAlignment="1">
      <alignment horizontal="center" vertical="center"/>
    </xf>
    <xf numFmtId="0" fontId="16" fillId="9" borderId="4" xfId="0" applyFont="1" applyFill="1" applyBorder="1" applyAlignment="1">
      <alignment horizontal="center" vertical="center"/>
    </xf>
    <xf numFmtId="0" fontId="16" fillId="9" borderId="48" xfId="0" applyFont="1" applyFill="1" applyBorder="1" applyAlignment="1">
      <alignment horizontal="center" vertical="center"/>
    </xf>
    <xf numFmtId="0" fontId="16" fillId="9" borderId="24" xfId="0" applyFont="1" applyFill="1" applyBorder="1" applyAlignment="1">
      <alignment horizontal="center" vertical="center"/>
    </xf>
    <xf numFmtId="0" fontId="16" fillId="9" borderId="6" xfId="0" applyFont="1" applyFill="1" applyBorder="1" applyAlignment="1">
      <alignment horizontal="center" vertical="center"/>
    </xf>
    <xf numFmtId="3" fontId="14" fillId="2" borderId="4" xfId="0" applyNumberFormat="1" applyFont="1" applyFill="1" applyBorder="1" applyAlignment="1">
      <alignment horizontal="center" vertical="center"/>
    </xf>
    <xf numFmtId="3" fontId="14" fillId="2" borderId="48" xfId="0" applyNumberFormat="1" applyFont="1" applyFill="1" applyBorder="1" applyAlignment="1">
      <alignment horizontal="center" vertical="center"/>
    </xf>
    <xf numFmtId="3" fontId="14" fillId="2" borderId="38" xfId="0" applyNumberFormat="1" applyFont="1" applyFill="1" applyBorder="1" applyAlignment="1">
      <alignment horizontal="center" vertical="center"/>
    </xf>
    <xf numFmtId="3" fontId="14" fillId="2" borderId="49" xfId="0" applyNumberFormat="1" applyFont="1" applyFill="1" applyBorder="1" applyAlignment="1">
      <alignment horizontal="center" vertical="center"/>
    </xf>
    <xf numFmtId="3" fontId="14" fillId="2" borderId="24" xfId="0" applyNumberFormat="1" applyFont="1" applyFill="1" applyBorder="1" applyAlignment="1">
      <alignment horizontal="center" vertical="center"/>
    </xf>
    <xf numFmtId="3" fontId="14" fillId="2" borderId="6" xfId="0" applyNumberFormat="1" applyFont="1" applyFill="1" applyBorder="1" applyAlignment="1">
      <alignment horizontal="center" vertical="center"/>
    </xf>
    <xf numFmtId="3" fontId="14" fillId="2" borderId="40" xfId="0" applyNumberFormat="1" applyFont="1" applyFill="1" applyBorder="1" applyAlignment="1">
      <alignment horizontal="center" vertical="center"/>
    </xf>
    <xf numFmtId="3" fontId="14" fillId="2" borderId="41" xfId="0" applyNumberFormat="1" applyFont="1" applyFill="1" applyBorder="1" applyAlignment="1">
      <alignment horizontal="center" vertical="center"/>
    </xf>
    <xf numFmtId="1" fontId="17" fillId="2" borderId="45" xfId="0" applyNumberFormat="1" applyFont="1" applyFill="1" applyBorder="1" applyAlignment="1">
      <alignment horizontal="center" vertical="center"/>
    </xf>
    <xf numFmtId="1" fontId="17" fillId="2" borderId="37" xfId="0" applyNumberFormat="1" applyFont="1" applyFill="1" applyBorder="1" applyAlignment="1">
      <alignment horizontal="center" vertical="center"/>
    </xf>
    <xf numFmtId="0" fontId="16" fillId="6" borderId="45" xfId="0" applyFont="1" applyFill="1" applyBorder="1" applyAlignment="1">
      <alignment horizontal="center" vertical="center"/>
    </xf>
    <xf numFmtId="0" fontId="16" fillId="6" borderId="37" xfId="0" applyFont="1" applyFill="1" applyBorder="1" applyAlignment="1">
      <alignment horizontal="center" vertical="center"/>
    </xf>
    <xf numFmtId="169" fontId="17" fillId="2" borderId="45" xfId="0" applyNumberFormat="1" applyFont="1" applyFill="1" applyBorder="1" applyAlignment="1">
      <alignment horizontal="center" vertical="center"/>
    </xf>
    <xf numFmtId="169" fontId="17" fillId="2" borderId="37" xfId="0" applyNumberFormat="1" applyFont="1" applyFill="1" applyBorder="1" applyAlignment="1">
      <alignment horizontal="center" vertical="center"/>
    </xf>
    <xf numFmtId="1" fontId="14" fillId="2" borderId="4" xfId="0" applyNumberFormat="1" applyFont="1" applyFill="1" applyBorder="1" applyAlignment="1">
      <alignment horizontal="center" vertical="center"/>
    </xf>
    <xf numFmtId="1" fontId="14" fillId="2" borderId="48" xfId="0" applyNumberFormat="1" applyFont="1" applyFill="1" applyBorder="1" applyAlignment="1">
      <alignment horizontal="center" vertical="center"/>
    </xf>
    <xf numFmtId="1" fontId="14" fillId="2" borderId="38" xfId="0" applyNumberFormat="1" applyFont="1" applyFill="1" applyBorder="1" applyAlignment="1">
      <alignment horizontal="center" vertical="center"/>
    </xf>
    <xf numFmtId="1" fontId="14" fillId="2" borderId="49" xfId="0" applyNumberFormat="1" applyFont="1" applyFill="1" applyBorder="1" applyAlignment="1">
      <alignment horizontal="center" vertical="center"/>
    </xf>
    <xf numFmtId="1" fontId="14" fillId="2" borderId="24"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xf>
    <xf numFmtId="1" fontId="14" fillId="2" borderId="40" xfId="0" applyNumberFormat="1" applyFont="1" applyFill="1" applyBorder="1" applyAlignment="1">
      <alignment horizontal="center" vertical="center"/>
    </xf>
    <xf numFmtId="1" fontId="14" fillId="2" borderId="41" xfId="0" applyNumberFormat="1" applyFont="1" applyFill="1" applyBorder="1" applyAlignment="1">
      <alignment horizontal="center" vertical="center"/>
    </xf>
    <xf numFmtId="0" fontId="19" fillId="6" borderId="7"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9" xfId="0" applyFont="1" applyFill="1" applyBorder="1" applyAlignment="1">
      <alignment horizontal="center" vertical="center"/>
    </xf>
    <xf numFmtId="0" fontId="20" fillId="2" borderId="4" xfId="0" applyFont="1" applyFill="1" applyBorder="1" applyAlignment="1">
      <alignment horizontal="left" vertical="center" indent="1"/>
    </xf>
    <xf numFmtId="0" fontId="20" fillId="2" borderId="0" xfId="0" applyFont="1" applyFill="1" applyAlignment="1">
      <alignment horizontal="left" vertical="center" indent="1"/>
    </xf>
    <xf numFmtId="0" fontId="29" fillId="2" borderId="1" xfId="0" applyFont="1" applyFill="1" applyBorder="1" applyAlignment="1">
      <alignment horizontal="center" vertical="center"/>
    </xf>
    <xf numFmtId="0" fontId="29" fillId="2" borderId="3"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6" xfId="0" applyFont="1" applyFill="1" applyBorder="1" applyAlignment="1">
      <alignment horizontal="center" vertical="center"/>
    </xf>
    <xf numFmtId="3" fontId="22" fillId="2" borderId="4" xfId="0" applyNumberFormat="1" applyFont="1" applyFill="1" applyBorder="1" applyAlignment="1">
      <alignment horizontal="center" vertical="center"/>
    </xf>
    <xf numFmtId="3" fontId="22" fillId="2" borderId="6"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3" fontId="16" fillId="11" borderId="57" xfId="0" applyNumberFormat="1" applyFont="1" applyFill="1" applyBorder="1" applyAlignment="1">
      <alignment horizontal="center" vertical="center"/>
    </xf>
    <xf numFmtId="3" fontId="16" fillId="11" borderId="58" xfId="0" applyNumberFormat="1" applyFont="1" applyFill="1" applyBorder="1" applyAlignment="1">
      <alignment horizontal="center" vertical="center"/>
    </xf>
    <xf numFmtId="1" fontId="21" fillId="11" borderId="57" xfId="0" applyNumberFormat="1" applyFont="1" applyFill="1" applyBorder="1" applyAlignment="1">
      <alignment horizontal="center" vertical="center"/>
    </xf>
    <xf numFmtId="1" fontId="21" fillId="11" borderId="69" xfId="0" applyNumberFormat="1" applyFont="1" applyFill="1" applyBorder="1" applyAlignment="1">
      <alignment horizontal="center" vertical="center"/>
    </xf>
    <xf numFmtId="1" fontId="21" fillId="11" borderId="70" xfId="0" applyNumberFormat="1" applyFont="1" applyFill="1" applyBorder="1" applyAlignment="1">
      <alignment horizontal="center" vertical="center"/>
    </xf>
    <xf numFmtId="1" fontId="21" fillId="11" borderId="71" xfId="0" applyNumberFormat="1" applyFont="1" applyFill="1" applyBorder="1" applyAlignment="1">
      <alignment horizontal="center" vertical="center"/>
    </xf>
    <xf numFmtId="1" fontId="21" fillId="11" borderId="74" xfId="0" applyNumberFormat="1" applyFont="1" applyFill="1" applyBorder="1" applyAlignment="1">
      <alignment horizontal="center" vertical="center"/>
    </xf>
    <xf numFmtId="1" fontId="21" fillId="11" borderId="58" xfId="0" applyNumberFormat="1" applyFont="1" applyFill="1" applyBorder="1" applyAlignment="1">
      <alignment horizontal="center" vertical="center"/>
    </xf>
    <xf numFmtId="1" fontId="21" fillId="11" borderId="75" xfId="0" applyNumberFormat="1" applyFont="1" applyFill="1" applyBorder="1" applyAlignment="1">
      <alignment horizontal="center" vertical="center"/>
    </xf>
    <xf numFmtId="1" fontId="21" fillId="11" borderId="76" xfId="0" applyNumberFormat="1" applyFont="1" applyFill="1" applyBorder="1" applyAlignment="1">
      <alignment horizontal="center" vertical="center"/>
    </xf>
    <xf numFmtId="3" fontId="21" fillId="11" borderId="57" xfId="0" applyNumberFormat="1" applyFont="1" applyFill="1" applyBorder="1" applyAlignment="1">
      <alignment horizontal="center" vertical="center"/>
    </xf>
    <xf numFmtId="3" fontId="21" fillId="11" borderId="69" xfId="0" applyNumberFormat="1" applyFont="1" applyFill="1" applyBorder="1" applyAlignment="1">
      <alignment horizontal="center" vertical="center"/>
    </xf>
    <xf numFmtId="3" fontId="21" fillId="11" borderId="70" xfId="0" applyNumberFormat="1" applyFont="1" applyFill="1" applyBorder="1" applyAlignment="1">
      <alignment horizontal="center" vertical="center"/>
    </xf>
    <xf numFmtId="3" fontId="21" fillId="11" borderId="71" xfId="0" applyNumberFormat="1" applyFont="1" applyFill="1" applyBorder="1" applyAlignment="1">
      <alignment horizontal="center" vertical="center"/>
    </xf>
    <xf numFmtId="3" fontId="21" fillId="11" borderId="74" xfId="0" applyNumberFormat="1" applyFont="1" applyFill="1" applyBorder="1" applyAlignment="1">
      <alignment horizontal="center" vertical="center"/>
    </xf>
    <xf numFmtId="3" fontId="21" fillId="11" borderId="58" xfId="0" applyNumberFormat="1" applyFont="1" applyFill="1" applyBorder="1" applyAlignment="1">
      <alignment horizontal="center" vertical="center"/>
    </xf>
    <xf numFmtId="3" fontId="21" fillId="11" borderId="75" xfId="0" applyNumberFormat="1" applyFont="1" applyFill="1" applyBorder="1" applyAlignment="1">
      <alignment horizontal="center" vertical="center"/>
    </xf>
    <xf numFmtId="3" fontId="21" fillId="11" borderId="76" xfId="0" applyNumberFormat="1" applyFont="1" applyFill="1" applyBorder="1" applyAlignment="1">
      <alignment horizontal="center" vertical="center"/>
    </xf>
    <xf numFmtId="0" fontId="22" fillId="9" borderId="31" xfId="0" applyFont="1" applyFill="1" applyBorder="1" applyAlignment="1">
      <alignment horizontal="center" vertical="center"/>
    </xf>
    <xf numFmtId="0" fontId="22" fillId="9" borderId="54" xfId="0" applyFont="1" applyFill="1" applyBorder="1" applyAlignment="1">
      <alignment horizontal="center" vertical="center"/>
    </xf>
    <xf numFmtId="1" fontId="16" fillId="11" borderId="31" xfId="0" applyNumberFormat="1" applyFont="1" applyFill="1" applyBorder="1" applyAlignment="1">
      <alignment horizontal="center" vertical="center"/>
    </xf>
    <xf numFmtId="1" fontId="16" fillId="11" borderId="54" xfId="0" applyNumberFormat="1" applyFont="1" applyFill="1" applyBorder="1" applyAlignment="1">
      <alignment horizontal="center" vertical="center"/>
    </xf>
    <xf numFmtId="0" fontId="15" fillId="9" borderId="62" xfId="0" applyFont="1" applyFill="1" applyBorder="1" applyAlignment="1">
      <alignment horizontal="center" vertical="center"/>
    </xf>
    <xf numFmtId="0" fontId="15" fillId="9" borderId="63" xfId="0" applyFont="1" applyFill="1" applyBorder="1" applyAlignment="1">
      <alignment horizontal="center" vertical="center"/>
    </xf>
    <xf numFmtId="0" fontId="15" fillId="9" borderId="64" xfId="0" applyFont="1" applyFill="1" applyBorder="1" applyAlignment="1">
      <alignment horizontal="center" vertical="center"/>
    </xf>
    <xf numFmtId="0" fontId="19" fillId="11" borderId="62" xfId="0" applyFont="1" applyFill="1" applyBorder="1" applyAlignment="1">
      <alignment horizontal="center" vertical="center"/>
    </xf>
    <xf numFmtId="0" fontId="19" fillId="11" borderId="63" xfId="0" applyFont="1" applyFill="1" applyBorder="1" applyAlignment="1">
      <alignment horizontal="center" vertical="center"/>
    </xf>
    <xf numFmtId="0" fontId="19" fillId="11" borderId="64" xfId="0" applyFont="1" applyFill="1" applyBorder="1" applyAlignment="1">
      <alignment horizontal="center" vertical="center"/>
    </xf>
    <xf numFmtId="0" fontId="20" fillId="9" borderId="57" xfId="0" applyFont="1" applyFill="1" applyBorder="1" applyAlignment="1">
      <alignment horizontal="center" vertical="center"/>
    </xf>
    <xf numFmtId="0" fontId="20" fillId="9" borderId="0" xfId="0" applyFont="1" applyFill="1" applyAlignment="1">
      <alignment horizontal="center" vertical="center"/>
    </xf>
    <xf numFmtId="0" fontId="20" fillId="9" borderId="58" xfId="0" applyFont="1" applyFill="1" applyBorder="1" applyAlignment="1">
      <alignment horizontal="center" vertical="center"/>
    </xf>
    <xf numFmtId="0" fontId="16" fillId="10" borderId="57" xfId="0" applyFont="1" applyFill="1" applyBorder="1" applyAlignment="1">
      <alignment horizontal="center" vertical="center"/>
    </xf>
    <xf numFmtId="0" fontId="16" fillId="10" borderId="69" xfId="0" applyFont="1" applyFill="1" applyBorder="1" applyAlignment="1">
      <alignment horizontal="center" vertical="center"/>
    </xf>
    <xf numFmtId="0" fontId="16" fillId="10" borderId="74" xfId="0" applyFont="1" applyFill="1" applyBorder="1" applyAlignment="1">
      <alignment horizontal="center" vertical="center"/>
    </xf>
    <xf numFmtId="0" fontId="16" fillId="10" borderId="58" xfId="0" applyFont="1" applyFill="1" applyBorder="1" applyAlignment="1">
      <alignment horizontal="center" vertical="center"/>
    </xf>
    <xf numFmtId="0" fontId="21" fillId="11" borderId="16" xfId="0" applyFont="1" applyFill="1" applyBorder="1" applyAlignment="1">
      <alignment horizontal="center" vertical="center"/>
    </xf>
    <xf numFmtId="0" fontId="21" fillId="11" borderId="56" xfId="0" applyFont="1" applyFill="1" applyBorder="1" applyAlignment="1">
      <alignment horizontal="center" vertical="center"/>
    </xf>
    <xf numFmtId="169" fontId="16" fillId="11" borderId="31" xfId="0" applyNumberFormat="1" applyFont="1" applyFill="1" applyBorder="1" applyAlignment="1">
      <alignment horizontal="center" vertical="center"/>
    </xf>
    <xf numFmtId="169" fontId="16" fillId="11" borderId="54" xfId="0" applyNumberFormat="1" applyFont="1" applyFill="1" applyBorder="1" applyAlignment="1">
      <alignment horizontal="center" vertical="center"/>
    </xf>
    <xf numFmtId="0" fontId="22" fillId="9" borderId="57" xfId="0" applyFont="1" applyFill="1" applyBorder="1" applyAlignment="1">
      <alignment horizontal="center" vertical="center"/>
    </xf>
    <xf numFmtId="0" fontId="22" fillId="9" borderId="58" xfId="0" applyFont="1" applyFill="1" applyBorder="1" applyAlignment="1">
      <alignment horizontal="center" vertical="center"/>
    </xf>
    <xf numFmtId="0" fontId="19" fillId="11" borderId="57" xfId="0" applyFont="1" applyFill="1" applyBorder="1" applyAlignment="1">
      <alignment horizontal="left" vertical="center" indent="1"/>
    </xf>
    <xf numFmtId="0" fontId="19" fillId="11" borderId="0" xfId="0" applyFont="1" applyFill="1" applyAlignment="1">
      <alignment horizontal="left" vertical="center" indent="1"/>
    </xf>
    <xf numFmtId="0" fontId="34" fillId="6" borderId="5" xfId="0" applyFont="1" applyFill="1" applyBorder="1" applyAlignment="1">
      <alignment horizontal="center" vertical="center"/>
    </xf>
    <xf numFmtId="0" fontId="27" fillId="6" borderId="4" xfId="0" applyFont="1" applyFill="1" applyBorder="1" applyAlignment="1">
      <alignment horizontal="center" vertical="center"/>
    </xf>
    <xf numFmtId="0" fontId="27" fillId="6" borderId="0" xfId="0" applyFont="1" applyFill="1" applyAlignment="1">
      <alignment horizontal="center" vertical="center"/>
    </xf>
    <xf numFmtId="0" fontId="27" fillId="6" borderId="6" xfId="0" applyFont="1" applyFill="1" applyBorder="1" applyAlignment="1">
      <alignment horizontal="center" vertical="center"/>
    </xf>
    <xf numFmtId="0" fontId="28" fillId="6" borderId="91" xfId="0" applyFont="1" applyFill="1" applyBorder="1" applyAlignment="1">
      <alignment horizontal="center" vertical="center"/>
    </xf>
    <xf numFmtId="0" fontId="28" fillId="6" borderId="65" xfId="0" applyFont="1" applyFill="1" applyBorder="1" applyAlignment="1">
      <alignment horizontal="center" vertical="center"/>
    </xf>
    <xf numFmtId="0" fontId="28" fillId="6" borderId="92" xfId="0" applyFont="1" applyFill="1" applyBorder="1" applyAlignment="1">
      <alignment horizontal="center" vertical="center"/>
    </xf>
    <xf numFmtId="0" fontId="32" fillId="6" borderId="13" xfId="0" applyFont="1" applyFill="1" applyBorder="1" applyAlignment="1">
      <alignment horizontal="center" vertical="center"/>
    </xf>
    <xf numFmtId="0" fontId="32" fillId="6" borderId="86" xfId="0" applyFont="1" applyFill="1" applyBorder="1" applyAlignment="1">
      <alignment horizontal="center" vertical="center"/>
    </xf>
    <xf numFmtId="0" fontId="32" fillId="6" borderId="4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4" fontId="2" fillId="3" borderId="1" xfId="0" applyNumberFormat="1" applyFont="1" applyFill="1" applyBorder="1" applyAlignment="1">
      <alignment horizontal="center" vertical="center"/>
    </xf>
    <xf numFmtId="4" fontId="2" fillId="3" borderId="2" xfId="0" applyNumberFormat="1" applyFont="1" applyFill="1" applyBorder="1" applyAlignment="1">
      <alignment horizontal="center" vertical="center"/>
    </xf>
    <xf numFmtId="0" fontId="6" fillId="2" borderId="24" xfId="0" applyFont="1" applyFill="1" applyBorder="1" applyAlignment="1">
      <alignment horizontal="center" vertical="center"/>
    </xf>
    <xf numFmtId="0" fontId="6" fillId="2" borderId="6" xfId="0" applyFont="1" applyFill="1" applyBorder="1" applyAlignment="1">
      <alignment horizontal="center" vertical="center"/>
    </xf>
    <xf numFmtId="4" fontId="2" fillId="3" borderId="4" xfId="0" applyNumberFormat="1" applyFont="1" applyFill="1" applyBorder="1" applyAlignment="1">
      <alignment horizontal="center" vertical="center"/>
    </xf>
    <xf numFmtId="4" fontId="2" fillId="3" borderId="0" xfId="0" applyNumberFormat="1" applyFont="1" applyFill="1" applyAlignment="1">
      <alignment horizontal="center" vertical="center"/>
    </xf>
    <xf numFmtId="0" fontId="6" fillId="4" borderId="24" xfId="0" applyFont="1" applyFill="1" applyBorder="1" applyAlignment="1">
      <alignment horizontal="center" vertical="center"/>
    </xf>
    <xf numFmtId="0" fontId="6" fillId="4" borderId="6" xfId="0" applyFont="1" applyFill="1" applyBorder="1" applyAlignment="1">
      <alignment horizontal="center" vertical="center"/>
    </xf>
    <xf numFmtId="4" fontId="2" fillId="3" borderId="10" xfId="0" applyNumberFormat="1" applyFont="1" applyFill="1" applyBorder="1" applyAlignment="1">
      <alignment horizontal="center" vertical="center"/>
    </xf>
    <xf numFmtId="4" fontId="2" fillId="3" borderId="11" xfId="0" applyNumberFormat="1"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12" xfId="0" applyFont="1" applyFill="1" applyBorder="1" applyAlignment="1">
      <alignment horizontal="center" vertical="center"/>
    </xf>
    <xf numFmtId="4" fontId="2" fillId="5" borderId="0" xfId="0" applyNumberFormat="1" applyFont="1" applyFill="1" applyAlignment="1">
      <alignment horizontal="center" vertical="center"/>
    </xf>
    <xf numFmtId="4" fontId="2" fillId="0" borderId="0" xfId="0" applyNumberFormat="1" applyFont="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6" fillId="2" borderId="0" xfId="0" applyFont="1" applyFill="1" applyAlignment="1">
      <alignment horizontal="center" vertical="center"/>
    </xf>
    <xf numFmtId="0" fontId="4" fillId="5" borderId="4" xfId="0" applyFont="1" applyFill="1" applyBorder="1" applyAlignment="1">
      <alignment horizontal="center" vertical="center"/>
    </xf>
    <xf numFmtId="0" fontId="4" fillId="5" borderId="0" xfId="0" applyFont="1" applyFill="1" applyAlignment="1">
      <alignment horizontal="center" vertical="center"/>
    </xf>
    <xf numFmtId="0" fontId="4" fillId="5" borderId="6"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2" xfId="0" applyFont="1" applyFill="1" applyBorder="1" applyAlignment="1">
      <alignment horizontal="center" vertical="center"/>
    </xf>
    <xf numFmtId="4" fontId="2" fillId="2" borderId="0" xfId="0" applyNumberFormat="1" applyFont="1" applyFill="1" applyAlignment="1">
      <alignment horizontal="center" vertical="center"/>
    </xf>
    <xf numFmtId="0" fontId="6" fillId="2" borderId="82"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4" fillId="6" borderId="7" xfId="0" applyFont="1" applyFill="1" applyBorder="1" applyAlignment="1">
      <alignment horizontal="center" vertical="center"/>
    </xf>
    <xf numFmtId="0" fontId="4" fillId="6" borderId="5" xfId="0" applyFont="1" applyFill="1" applyBorder="1" applyAlignment="1">
      <alignment horizontal="center" vertical="center"/>
    </xf>
    <xf numFmtId="0" fontId="4" fillId="6" borderId="9"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4" fontId="2" fillId="7" borderId="0" xfId="0" applyNumberFormat="1" applyFont="1" applyFill="1" applyAlignment="1">
      <alignment horizontal="center" vertical="center"/>
    </xf>
    <xf numFmtId="0" fontId="6" fillId="8" borderId="18" xfId="0" applyFont="1" applyFill="1" applyBorder="1" applyAlignment="1">
      <alignment horizontal="center" vertical="center"/>
    </xf>
    <xf numFmtId="0" fontId="6" fillId="8" borderId="19"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0" xfId="0" applyFont="1" applyFill="1" applyAlignment="1">
      <alignment horizontal="center" vertical="center"/>
    </xf>
    <xf numFmtId="0" fontId="4" fillId="7"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6" fillId="8" borderId="26" xfId="0" applyFont="1" applyFill="1" applyBorder="1" applyAlignment="1">
      <alignment horizontal="center" vertical="center"/>
    </xf>
    <xf numFmtId="0" fontId="6" fillId="8" borderId="12"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9"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9" xfId="0" applyFont="1" applyFill="1" applyBorder="1" applyAlignment="1">
      <alignment horizontal="center" vertical="center"/>
    </xf>
    <xf numFmtId="0" fontId="4" fillId="7" borderId="46" xfId="0" applyFont="1" applyFill="1" applyBorder="1" applyAlignment="1">
      <alignment horizontal="center" vertical="center"/>
    </xf>
    <xf numFmtId="0" fontId="4" fillId="7" borderId="95" xfId="0" applyFont="1" applyFill="1" applyBorder="1" applyAlignment="1">
      <alignment horizontal="center" vertical="center"/>
    </xf>
    <xf numFmtId="0" fontId="4" fillId="7" borderId="51"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9"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3" fontId="8" fillId="2" borderId="2" xfId="0" applyNumberFormat="1" applyFont="1" applyFill="1" applyBorder="1" applyAlignment="1">
      <alignment horizontal="center" vertical="center"/>
    </xf>
    <xf numFmtId="164" fontId="8" fillId="2" borderId="0" xfId="0" applyNumberFormat="1" applyFont="1" applyFill="1" applyBorder="1" applyAlignment="1">
      <alignment horizontal="center" vertical="center"/>
    </xf>
    <xf numFmtId="164" fontId="8" fillId="2" borderId="11" xfId="0" applyNumberFormat="1" applyFont="1" applyFill="1" applyBorder="1" applyAlignment="1">
      <alignment horizontal="center" vertical="center"/>
    </xf>
    <xf numFmtId="0" fontId="6" fillId="2" borderId="0" xfId="0" applyFont="1" applyFill="1" applyBorder="1" applyAlignment="1">
      <alignment vertical="center"/>
    </xf>
  </cellXfs>
  <cellStyles count="4">
    <cellStyle name="Hipervínculo" xfId="2" builtinId="8"/>
    <cellStyle name="Millares" xfId="3" builtinId="3"/>
    <cellStyle name="Normal" xfId="0" builtinId="0"/>
    <cellStyle name="Porcentaje" xfId="1" builtinId="5"/>
  </cellStyles>
  <dxfs count="127">
    <dxf>
      <fill>
        <patternFill>
          <bgColor theme="3" tint="0.59996337778862885"/>
        </patternFill>
      </fill>
    </dxf>
    <dxf>
      <fill>
        <patternFill>
          <bgColor theme="3" tint="0.59996337778862885"/>
        </patternFill>
      </fill>
    </dxf>
    <dxf>
      <fill>
        <patternFill>
          <bgColor theme="3" tint="0.59996337778862885"/>
        </patternFill>
      </fill>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numFmt numFmtId="164" formatCode="dd/mm/yyyy;@"/>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Light"/>
        <scheme val="major"/>
      </font>
      <fill>
        <patternFill patternType="solid">
          <fgColor indexed="64"/>
          <bgColor theme="3" tint="-0.49998474074526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numFmt numFmtId="3" formatCode="#,##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Light"/>
        <scheme val="major"/>
      </font>
      <numFmt numFmtId="3" formatCode="#,##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numFmt numFmtId="164" formatCode="dd/m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family val="2"/>
        <scheme val="maj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Light"/>
        <family val="2"/>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border>
    </dxf>
    <dxf>
      <fill>
        <patternFill patternType="none">
          <fgColor indexed="64"/>
          <bgColor auto="1"/>
        </patternFill>
      </fill>
      <border diagonalUp="0" diagonalDown="0" outline="0">
        <left/>
        <right style="thin">
          <color indexed="64"/>
        </right>
        <top style="thin">
          <color indexed="64"/>
        </top>
        <bottom style="thin">
          <color indexed="64"/>
        </bottom>
      </border>
    </dxf>
    <dxf>
      <border diagonalUp="0" diagonalDown="0" outline="0">
        <left/>
        <right style="thin">
          <color indexed="64"/>
        </right>
        <top style="thin">
          <color indexed="64"/>
        </top>
        <bottom/>
      </border>
    </dxf>
    <dxf>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Light"/>
        <scheme val="major"/>
      </font>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Light"/>
        <scheme val="major"/>
      </font>
      <fill>
        <patternFill patternType="solid">
          <fgColor indexed="64"/>
          <bgColor theme="8"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theme="0"/>
        <name val="Calibri Light"/>
        <family val="2"/>
        <scheme val="major"/>
      </font>
      <numFmt numFmtId="3" formatCode="#,##0"/>
      <fill>
        <patternFill patternType="solid">
          <fgColor indexed="64"/>
          <bgColor theme="3" tint="-0.499984740745262"/>
        </patternFill>
      </fill>
      <alignment horizontal="right" vertical="center" textRotation="0" wrapText="0" indent="1" justifyLastLine="0" shrinkToFit="0" readingOrder="0"/>
      <border diagonalUp="0" diagonalDown="0" outline="0">
        <left/>
        <right style="thin">
          <color indexed="64"/>
        </right>
        <top style="thin">
          <color indexed="64"/>
        </top>
        <bottom style="double">
          <color indexed="64"/>
        </bottom>
      </border>
    </dxf>
    <dxf>
      <font>
        <b/>
        <strike val="0"/>
        <outline val="0"/>
        <shadow val="0"/>
        <u val="none"/>
        <vertAlign val="baseline"/>
        <sz val="10"/>
        <color theme="0"/>
        <name val="Calibri Light"/>
        <scheme val="major"/>
      </font>
      <numFmt numFmtId="3" formatCode="#,##0"/>
      <fill>
        <patternFill patternType="solid">
          <fgColor indexed="64"/>
          <bgColor theme="8" tint="-0.249977111117893"/>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Light"/>
        <family val="2"/>
        <scheme val="major"/>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numFmt numFmtId="3" formatCode="#,##0"/>
      <fill>
        <patternFill>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right style="thin">
          <color indexed="64"/>
        </right>
        <top style="thin">
          <color indexed="64"/>
        </top>
        <bottom style="double">
          <color indexed="64"/>
        </bottom>
      </border>
    </dxf>
    <dxf>
      <font>
        <strike val="0"/>
        <outline val="0"/>
        <shadow val="0"/>
        <u val="none"/>
        <vertAlign val="baseline"/>
        <sz val="10"/>
        <name val="Calibri Light"/>
        <scheme val="major"/>
      </font>
      <numFmt numFmtId="0" formatCode="General"/>
      <alignment vertical="center" textRotation="0" indent="0" justifyLastLine="0" shrinkToFit="0" readingOrder="0"/>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dxf>
    <dxf>
      <font>
        <b/>
        <i val="0"/>
        <strike val="0"/>
        <condense val="0"/>
        <extend val="0"/>
        <outline val="0"/>
        <shadow val="0"/>
        <u val="none"/>
        <vertAlign val="baseline"/>
        <sz val="11"/>
        <color theme="0"/>
        <name val="Calibri Light"/>
        <family val="2"/>
        <scheme val="major"/>
      </font>
      <fill>
        <patternFill patternType="solid">
          <fgColor indexed="64"/>
          <bgColor theme="3" tint="-0.499984740745262"/>
        </patternFill>
      </fill>
      <alignment horizontal="center" vertical="center" textRotation="0" wrapText="0" indent="0" justifyLastLine="0" shrinkToFit="0" readingOrder="0"/>
      <border diagonalUp="0" diagonalDown="0" outline="0">
        <left style="thin">
          <color indexed="64"/>
        </left>
        <right/>
        <top style="thin">
          <color indexed="64"/>
        </top>
        <bottom style="double">
          <color indexed="64"/>
        </bottom>
      </border>
    </dxf>
    <dxf>
      <font>
        <strike val="0"/>
        <outline val="0"/>
        <shadow val="0"/>
        <u val="none"/>
        <vertAlign val="baseline"/>
        <sz val="10"/>
        <name val="Calibri Light"/>
        <scheme val="major"/>
      </font>
      <alignment vertical="center" textRotation="0" indent="0" justifyLastLine="0" shrinkToFit="0" readingOrder="0"/>
    </dxf>
    <dxf>
      <border>
        <top style="thin">
          <color indexed="64"/>
        </top>
      </border>
    </dxf>
    <dxf>
      <font>
        <b/>
        <strike val="0"/>
        <outline val="0"/>
        <shadow val="0"/>
        <u val="none"/>
        <vertAlign val="baseline"/>
        <sz val="11"/>
        <color theme="0"/>
        <name val="Calibri Light"/>
        <scheme val="major"/>
      </font>
      <fill>
        <patternFill patternType="solid">
          <fgColor indexed="64"/>
          <bgColor theme="3" tint="-0.499984740745262"/>
        </patternFill>
      </fill>
    </dxf>
    <dxf>
      <font>
        <strike val="0"/>
        <outline val="0"/>
        <shadow val="0"/>
        <u val="none"/>
        <vertAlign val="baseline"/>
        <sz val="10"/>
        <name val="Calibri Light"/>
        <scheme val="major"/>
      </font>
      <alignment vertical="center" textRotation="0" indent="0" justifyLastLine="0" shrinkToFit="0" readingOrder="0"/>
    </dxf>
    <dxf>
      <font>
        <strike val="0"/>
        <outline val="0"/>
        <shadow val="0"/>
        <u val="none"/>
        <vertAlign val="baseline"/>
        <sz val="11"/>
        <color theme="0"/>
        <name val="Calibri Light"/>
        <scheme val="major"/>
      </font>
      <alignment horizontal="center" vertical="center" textRotation="0" wrapText="1" indent="0" justifyLastLine="0" shrinkToFit="0" readingOrder="0"/>
    </dxf>
    <dxf>
      <numFmt numFmtId="13" formatCode="0%"/>
    </dxf>
    <dxf>
      <numFmt numFmtId="13" formatCode="0%"/>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
      <numFmt numFmtId="13" formatCode="0%"/>
    </dxf>
    <dxf>
      <font>
        <color auto="1"/>
      </font>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tint="-0.249977111117893"/>
      </font>
    </dxf>
    <dxf>
      <font>
        <color theme="0" tint="-0.249977111117893"/>
      </font>
    </dxf>
    <dxf>
      <font>
        <color theme="0" tint="-0.249977111117893"/>
      </font>
    </dxf>
    <dxf>
      <font>
        <color theme="0" tint="-0.249977111117893"/>
      </font>
    </dxf>
    <dxf>
      <font>
        <color theme="0" tint="-0.249977111117893"/>
      </font>
    </dxf>
    <dxf>
      <font>
        <color theme="0" tint="-0.249977111117893"/>
      </font>
    </dxf>
    <dxf>
      <numFmt numFmtId="13" formatCode="0%"/>
    </dxf>
  </dxfs>
  <tableStyles count="0" defaultTableStyle="TableStyleMedium2" defaultPivotStyle="PivotStyleLight16"/>
  <colors>
    <mruColors>
      <color rgb="FF00CC99"/>
      <color rgb="FF009999"/>
      <color rgb="FF151B21"/>
      <color rgb="FF1A21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0B-4FDB-A319-1F025C1DB84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CE0B-4FDB-A319-1F025C1DB8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(Reporte!$C$13,Reporte!$F$13)</c:f>
              <c:strCache>
                <c:ptCount val="2"/>
                <c:pt idx="0">
                  <c:v>ARS</c:v>
                </c:pt>
                <c:pt idx="1">
                  <c:v>USD</c:v>
                </c:pt>
              </c:strCache>
            </c:strRef>
          </c:cat>
          <c:val>
            <c:numRef>
              <c:f>(Reporte!$C$14,Reporte!$F$14)</c:f>
              <c:numCache>
                <c:formatCode>0</c:formatCode>
                <c:ptCount val="2"/>
                <c:pt idx="0">
                  <c:v>3</c:v>
                </c:pt>
                <c:pt idx="1">
                  <c:v>4</c:v>
                </c:pt>
              </c:numCache>
            </c:numRef>
          </c:val>
          <c:extLst>
            <c:ext xmlns:c16="http://schemas.microsoft.com/office/drawing/2014/chart" uri="{C3380CC4-5D6E-409C-BE32-E72D297353CC}">
              <c16:uniqueId val="{00000004-CE0B-4FDB-A319-1F025C1DB84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-23.07.2025.xlsx]SGR TD!Tabla dinámica2</c:name>
    <c:fmtId val="17"/>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5">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'SGR TD'!$C$21</c:f>
              <c:strCache>
                <c:ptCount val="1"/>
                <c:pt idx="0">
                  <c:v>Total</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TD'!$B$22:$B$31</c:f>
              <c:strCache>
                <c:ptCount val="9"/>
                <c:pt idx="0">
                  <c:v>BANCO SUPERVIELLE S.A</c:v>
                </c:pt>
                <c:pt idx="1">
                  <c:v>GARANTIZAR S.G.R.</c:v>
                </c:pt>
                <c:pt idx="2">
                  <c:v>GARANTIAS BIND S.G.R.</c:v>
                </c:pt>
                <c:pt idx="3">
                  <c:v>ACINDAR PYMES S.G.R.</c:v>
                </c:pt>
                <c:pt idx="4">
                  <c:v>BANCO DE SERVICIOS Y TRANSACCIONES S.A</c:v>
                </c:pt>
                <c:pt idx="5">
                  <c:v>ARGENPYMES S.G.R.</c:v>
                </c:pt>
                <c:pt idx="6">
                  <c:v>INTERGARANTIAS S.G.R.</c:v>
                </c:pt>
                <c:pt idx="7">
                  <c:v>CUYO AVAL S.G.R.</c:v>
                </c:pt>
                <c:pt idx="8">
                  <c:v>AVAL AR S.G.R.</c:v>
                </c:pt>
              </c:strCache>
            </c:strRef>
          </c:cat>
          <c:val>
            <c:numRef>
              <c:f>'SGR TD'!$C$22:$C$31</c:f>
              <c:numCache>
                <c:formatCode>0%</c:formatCode>
                <c:ptCount val="9"/>
                <c:pt idx="0">
                  <c:v>0.28408512004454156</c:v>
                </c:pt>
                <c:pt idx="1">
                  <c:v>0.23678489170270378</c:v>
                </c:pt>
                <c:pt idx="2">
                  <c:v>0.19358953953331259</c:v>
                </c:pt>
                <c:pt idx="3">
                  <c:v>0.10441154625729872</c:v>
                </c:pt>
                <c:pt idx="4">
                  <c:v>9.1350261114662101E-2</c:v>
                </c:pt>
                <c:pt idx="5">
                  <c:v>7.2402130118936134E-2</c:v>
                </c:pt>
                <c:pt idx="6">
                  <c:v>1.737651122854467E-2</c:v>
                </c:pt>
                <c:pt idx="7">
                  <c:v>2.4598368506308553E-16</c:v>
                </c:pt>
                <c:pt idx="8">
                  <c:v>2.0498640421923792E-16</c:v>
                </c:pt>
              </c:numCache>
            </c:numRef>
          </c:val>
          <c:extLst>
            <c:ext xmlns:c16="http://schemas.microsoft.com/office/drawing/2014/chart" uri="{C3380CC4-5D6E-409C-BE32-E72D297353CC}">
              <c16:uniqueId val="{00000000-7C54-4B13-AAB8-DE381737DE5B}"/>
            </c:ext>
          </c:extLst>
        </c:ser>
        <c:dLbls>
          <c:dLblPos val="outEnd"/>
          <c:showLegendKey val="0"/>
          <c:showVal val="1"/>
          <c:showCatName val="0"/>
          <c:showSerName val="0"/>
          <c:showPercent val="0"/>
          <c:showBubbleSize val="0"/>
        </c:dLbls>
        <c:gapWidth val="80"/>
        <c:axId val="600731560"/>
        <c:axId val="600735088"/>
      </c:barChart>
      <c:catAx>
        <c:axId val="600731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5088"/>
        <c:crosses val="autoZero"/>
        <c:auto val="1"/>
        <c:lblAlgn val="ctr"/>
        <c:lblOffset val="100"/>
        <c:noMultiLvlLbl val="0"/>
      </c:catAx>
      <c:valAx>
        <c:axId val="600735088"/>
        <c:scaling>
          <c:orientation val="minMax"/>
        </c:scaling>
        <c:delete val="1"/>
        <c:axPos val="t"/>
        <c:numFmt formatCode="0%" sourceLinked="1"/>
        <c:majorTickMark val="none"/>
        <c:minorTickMark val="none"/>
        <c:tickLblPos val="nextTo"/>
        <c:crossAx val="600731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F5D2-40A4-946F-F4246D7DEB96}"/>
            </c:ext>
          </c:extLst>
        </c:ser>
        <c:dLbls>
          <c:showLegendKey val="0"/>
          <c:showVal val="0"/>
          <c:showCatName val="0"/>
          <c:showSerName val="0"/>
          <c:showPercent val="0"/>
          <c:showBubbleSize val="0"/>
        </c:dLbls>
        <c:gapWidth val="0"/>
        <c:axId val="624768992"/>
        <c:axId val="624769384"/>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F5D2-40A4-946F-F4246D7DEB96}"/>
            </c:ext>
          </c:extLst>
        </c:ser>
        <c:dLbls>
          <c:showLegendKey val="0"/>
          <c:showVal val="0"/>
          <c:showCatName val="0"/>
          <c:showSerName val="0"/>
          <c:showPercent val="0"/>
          <c:showBubbleSize val="0"/>
        </c:dLbls>
        <c:marker val="1"/>
        <c:smooth val="0"/>
        <c:axId val="624768992"/>
        <c:axId val="624769384"/>
      </c:lineChart>
      <c:dateAx>
        <c:axId val="6247689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9384"/>
        <c:crosses val="autoZero"/>
        <c:auto val="0"/>
        <c:lblOffset val="50"/>
        <c:baseTimeUnit val="months"/>
        <c:majorUnit val="6"/>
        <c:majorTimeUnit val="months"/>
      </c:dateAx>
      <c:valAx>
        <c:axId val="62476938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99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USD!$H$696:$H$702</c:f>
              <c:numCache>
                <c:formatCode>dd/mm/yyyy;@</c:formatCode>
                <c:ptCount val="7"/>
                <c:pt idx="0">
                  <c:v>43334</c:v>
                </c:pt>
                <c:pt idx="1">
                  <c:v>43518</c:v>
                </c:pt>
                <c:pt idx="2">
                  <c:v>43699</c:v>
                </c:pt>
                <c:pt idx="3">
                  <c:v>43885</c:v>
                </c:pt>
                <c:pt idx="4">
                  <c:v>44067</c:v>
                </c:pt>
              </c:numCache>
            </c:numRef>
          </c:cat>
          <c:val>
            <c:numRef>
              <c:f>USD!$M$696:$M$702</c:f>
              <c:numCache>
                <c:formatCode>#,##0.00</c:formatCode>
                <c:ptCount val="7"/>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3FE5-4424-A8C3-8D5C5AB555F3}"/>
            </c:ext>
          </c:extLst>
        </c:ser>
        <c:dLbls>
          <c:showLegendKey val="0"/>
          <c:showVal val="0"/>
          <c:showCatName val="0"/>
          <c:showSerName val="0"/>
          <c:showPercent val="0"/>
          <c:showBubbleSize val="0"/>
        </c:dLbls>
        <c:gapWidth val="0"/>
        <c:axId val="624774088"/>
        <c:axId val="624774480"/>
      </c:barChart>
      <c:lineChart>
        <c:grouping val="standard"/>
        <c:varyColors val="0"/>
        <c:ser>
          <c:idx val="1"/>
          <c:order val="1"/>
          <c:tx>
            <c:v>Acumulado</c:v>
          </c:tx>
          <c:spPr>
            <a:ln w="28575" cap="rnd">
              <a:solidFill>
                <a:schemeClr val="accent2"/>
              </a:solidFill>
              <a:round/>
            </a:ln>
            <a:effectLst/>
          </c:spPr>
          <c:marker>
            <c:symbol val="none"/>
          </c:marker>
          <c:val>
            <c:numRef>
              <c:f>USD!$O$580:$O$586</c:f>
              <c:numCache>
                <c:formatCode>#,##0.00</c:formatCode>
                <c:ptCount val="7"/>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3FE5-4424-A8C3-8D5C5AB555F3}"/>
            </c:ext>
          </c:extLst>
        </c:ser>
        <c:dLbls>
          <c:showLegendKey val="0"/>
          <c:showVal val="0"/>
          <c:showCatName val="0"/>
          <c:showSerName val="0"/>
          <c:showPercent val="0"/>
          <c:showBubbleSize val="0"/>
        </c:dLbls>
        <c:marker val="1"/>
        <c:smooth val="0"/>
        <c:axId val="624774088"/>
        <c:axId val="624774480"/>
      </c:lineChart>
      <c:dateAx>
        <c:axId val="6247740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480"/>
        <c:crosses val="autoZero"/>
        <c:auto val="0"/>
        <c:lblOffset val="50"/>
        <c:baseTimeUnit val="months"/>
        <c:majorUnit val="6"/>
        <c:majorTimeUnit val="months"/>
      </c:dateAx>
      <c:valAx>
        <c:axId val="6247744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40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USD!$H$696:$H$700</c:f>
              <c:numCache>
                <c:formatCode>dd/mm/yyyy;@</c:formatCode>
                <c:ptCount val="5"/>
                <c:pt idx="0">
                  <c:v>43334</c:v>
                </c:pt>
                <c:pt idx="1">
                  <c:v>43518</c:v>
                </c:pt>
                <c:pt idx="2">
                  <c:v>43699</c:v>
                </c:pt>
                <c:pt idx="3">
                  <c:v>43885</c:v>
                </c:pt>
                <c:pt idx="4">
                  <c:v>44067</c:v>
                </c:pt>
              </c:numCache>
            </c:numRef>
          </c:cat>
          <c:val>
            <c:numRef>
              <c:f>USD!$M$696:$M$700</c:f>
              <c:numCache>
                <c:formatCode>#,##0.00</c:formatCode>
                <c:ptCount val="5"/>
                <c:pt idx="0">
                  <c:v>-145000</c:v>
                </c:pt>
                <c:pt idx="1">
                  <c:v>42316.95890410959</c:v>
                </c:pt>
                <c:pt idx="2">
                  <c:v>40726.030821917811</c:v>
                </c:pt>
                <c:pt idx="3">
                  <c:v>39316.452054794521</c:v>
                </c:pt>
                <c:pt idx="4">
                  <c:v>37750.253424657538</c:v>
                </c:pt>
              </c:numCache>
            </c:numRef>
          </c:val>
          <c:extLst>
            <c:ext xmlns:c16="http://schemas.microsoft.com/office/drawing/2014/chart" uri="{C3380CC4-5D6E-409C-BE32-E72D297353CC}">
              <c16:uniqueId val="{00000000-59AA-4603-B7C1-60C215D97BF0}"/>
            </c:ext>
          </c:extLst>
        </c:ser>
        <c:dLbls>
          <c:showLegendKey val="0"/>
          <c:showVal val="0"/>
          <c:showCatName val="0"/>
          <c:showSerName val="0"/>
          <c:showPercent val="0"/>
          <c:showBubbleSize val="0"/>
        </c:dLbls>
        <c:gapWidth val="0"/>
        <c:axId val="624770952"/>
        <c:axId val="624774872"/>
      </c:barChart>
      <c:lineChart>
        <c:grouping val="standard"/>
        <c:varyColors val="0"/>
        <c:ser>
          <c:idx val="1"/>
          <c:order val="1"/>
          <c:tx>
            <c:v>Acumulado</c:v>
          </c:tx>
          <c:spPr>
            <a:ln w="28575" cap="rnd">
              <a:solidFill>
                <a:schemeClr val="accent2"/>
              </a:solidFill>
              <a:round/>
            </a:ln>
            <a:effectLst/>
          </c:spPr>
          <c:marker>
            <c:symbol val="none"/>
          </c:marker>
          <c:val>
            <c:numRef>
              <c:f>USD!$O$580:$O$584</c:f>
              <c:numCache>
                <c:formatCode>#,##0.00</c:formatCode>
                <c:ptCount val="5"/>
                <c:pt idx="0">
                  <c:v>-145000</c:v>
                </c:pt>
                <c:pt idx="1">
                  <c:v>-102683.04109589041</c:v>
                </c:pt>
                <c:pt idx="2">
                  <c:v>-61957.010273972599</c:v>
                </c:pt>
                <c:pt idx="3">
                  <c:v>-22640.558219178078</c:v>
                </c:pt>
                <c:pt idx="4">
                  <c:v>15109.69520547946</c:v>
                </c:pt>
              </c:numCache>
            </c:numRef>
          </c:val>
          <c:smooth val="0"/>
          <c:extLst>
            <c:ext xmlns:c16="http://schemas.microsoft.com/office/drawing/2014/chart" uri="{C3380CC4-5D6E-409C-BE32-E72D297353CC}">
              <c16:uniqueId val="{00000001-59AA-4603-B7C1-60C215D97BF0}"/>
            </c:ext>
          </c:extLst>
        </c:ser>
        <c:dLbls>
          <c:showLegendKey val="0"/>
          <c:showVal val="0"/>
          <c:showCatName val="0"/>
          <c:showSerName val="0"/>
          <c:showPercent val="0"/>
          <c:showBubbleSize val="0"/>
        </c:dLbls>
        <c:marker val="1"/>
        <c:smooth val="0"/>
        <c:axId val="624770952"/>
        <c:axId val="624774872"/>
      </c:lineChart>
      <c:dateAx>
        <c:axId val="62477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4872"/>
        <c:crosses val="autoZero"/>
        <c:auto val="0"/>
        <c:lblOffset val="50"/>
        <c:baseTimeUnit val="months"/>
        <c:majorUnit val="6"/>
        <c:majorTimeUnit val="months"/>
      </c:dateAx>
      <c:valAx>
        <c:axId val="624774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0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EC8E-48DB-AC7A-C7521F1FCE3A}"/>
            </c:ext>
          </c:extLst>
        </c:ser>
        <c:dLbls>
          <c:showLegendKey val="0"/>
          <c:showVal val="0"/>
          <c:showCatName val="0"/>
          <c:showSerName val="0"/>
          <c:showPercent val="0"/>
          <c:showBubbleSize val="0"/>
        </c:dLbls>
        <c:gapWidth val="0"/>
        <c:axId val="624776832"/>
        <c:axId val="624783104"/>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EC8E-48DB-AC7A-C7521F1FCE3A}"/>
            </c:ext>
          </c:extLst>
        </c:ser>
        <c:dLbls>
          <c:showLegendKey val="0"/>
          <c:showVal val="0"/>
          <c:showCatName val="0"/>
          <c:showSerName val="0"/>
          <c:showPercent val="0"/>
          <c:showBubbleSize val="0"/>
        </c:dLbls>
        <c:marker val="1"/>
        <c:smooth val="0"/>
        <c:axId val="624776832"/>
        <c:axId val="624783104"/>
      </c:lineChart>
      <c:dateAx>
        <c:axId val="6247768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3104"/>
        <c:crosses val="autoZero"/>
        <c:auto val="0"/>
        <c:lblOffset val="50"/>
        <c:baseTimeUnit val="months"/>
        <c:majorUnit val="6"/>
        <c:majorTimeUnit val="months"/>
      </c:dateAx>
      <c:valAx>
        <c:axId val="624783104"/>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6832"/>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USD!$H$766:$H$772</c:f>
              <c:numCache>
                <c:formatCode>dd/mm/yyyy;@</c:formatCode>
                <c:ptCount val="7"/>
                <c:pt idx="0">
                  <c:v>43476</c:v>
                </c:pt>
                <c:pt idx="1">
                  <c:v>43657</c:v>
                </c:pt>
                <c:pt idx="2">
                  <c:v>43843</c:v>
                </c:pt>
                <c:pt idx="3">
                  <c:v>44025</c:v>
                </c:pt>
                <c:pt idx="4">
                  <c:v>44207</c:v>
                </c:pt>
                <c:pt idx="5">
                  <c:v>44389</c:v>
                </c:pt>
                <c:pt idx="6">
                  <c:v>44572</c:v>
                </c:pt>
              </c:numCache>
            </c:numRef>
          </c:cat>
          <c:val>
            <c:numRef>
              <c:f>USD!$M$766:$M$772</c:f>
              <c:numCache>
                <c:formatCode>#,##0.00</c:formatCode>
                <c:ptCount val="7"/>
                <c:pt idx="0">
                  <c:v>-215000</c:v>
                </c:pt>
                <c:pt idx="1">
                  <c:v>46494.977168949772</c:v>
                </c:pt>
                <c:pt idx="2">
                  <c:v>44963.470319634704</c:v>
                </c:pt>
                <c:pt idx="3">
                  <c:v>42980.365296803655</c:v>
                </c:pt>
                <c:pt idx="4">
                  <c:v>41193.607305936079</c:v>
                </c:pt>
                <c:pt idx="5">
                  <c:v>39406.849315068495</c:v>
                </c:pt>
                <c:pt idx="6">
                  <c:v>37629.908675799088</c:v>
                </c:pt>
              </c:numCache>
            </c:numRef>
          </c:val>
          <c:extLst>
            <c:ext xmlns:c16="http://schemas.microsoft.com/office/drawing/2014/chart" uri="{C3380CC4-5D6E-409C-BE32-E72D297353CC}">
              <c16:uniqueId val="{00000000-71E2-425E-A1BC-1FEC06E9E1B0}"/>
            </c:ext>
          </c:extLst>
        </c:ser>
        <c:dLbls>
          <c:showLegendKey val="0"/>
          <c:showVal val="0"/>
          <c:showCatName val="0"/>
          <c:showSerName val="0"/>
          <c:showPercent val="0"/>
          <c:showBubbleSize val="0"/>
        </c:dLbls>
        <c:gapWidth val="0"/>
        <c:axId val="624791336"/>
        <c:axId val="624791728"/>
      </c:barChart>
      <c:lineChart>
        <c:grouping val="standard"/>
        <c:varyColors val="0"/>
        <c:ser>
          <c:idx val="1"/>
          <c:order val="1"/>
          <c:tx>
            <c:v>Acumulado</c:v>
          </c:tx>
          <c:spPr>
            <a:ln w="28575" cap="rnd">
              <a:solidFill>
                <a:schemeClr val="accent2"/>
              </a:solidFill>
              <a:round/>
            </a:ln>
            <a:effectLst/>
          </c:spPr>
          <c:marker>
            <c:symbol val="none"/>
          </c:marker>
          <c:val>
            <c:numRef>
              <c:f>USD!$O$614:$O$620</c:f>
              <c:numCache>
                <c:formatCode>#,##0.00</c:formatCode>
                <c:ptCount val="7"/>
                <c:pt idx="0">
                  <c:v>-215000</c:v>
                </c:pt>
                <c:pt idx="1">
                  <c:v>-168505.02283105021</c:v>
                </c:pt>
                <c:pt idx="2">
                  <c:v>-123541.5525114155</c:v>
                </c:pt>
                <c:pt idx="3">
                  <c:v>-80561.187214611855</c:v>
                </c:pt>
                <c:pt idx="4">
                  <c:v>-39367.579908675776</c:v>
                </c:pt>
                <c:pt idx="5">
                  <c:v>39.269406392719247</c:v>
                </c:pt>
                <c:pt idx="6">
                  <c:v>37669.178082191807</c:v>
                </c:pt>
              </c:numCache>
            </c:numRef>
          </c:val>
          <c:smooth val="0"/>
          <c:extLst>
            <c:ext xmlns:c16="http://schemas.microsoft.com/office/drawing/2014/chart" uri="{C3380CC4-5D6E-409C-BE32-E72D297353CC}">
              <c16:uniqueId val="{00000001-71E2-425E-A1BC-1FEC06E9E1B0}"/>
            </c:ext>
          </c:extLst>
        </c:ser>
        <c:dLbls>
          <c:showLegendKey val="0"/>
          <c:showVal val="0"/>
          <c:showCatName val="0"/>
          <c:showSerName val="0"/>
          <c:showPercent val="0"/>
          <c:showBubbleSize val="0"/>
        </c:dLbls>
        <c:marker val="1"/>
        <c:smooth val="0"/>
        <c:axId val="624791336"/>
        <c:axId val="624791728"/>
      </c:lineChart>
      <c:dateAx>
        <c:axId val="624791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1728"/>
        <c:crosses val="autoZero"/>
        <c:auto val="0"/>
        <c:lblOffset val="50"/>
        <c:baseTimeUnit val="months"/>
        <c:majorUnit val="6"/>
        <c:majorTimeUnit val="months"/>
      </c:dateAx>
      <c:valAx>
        <c:axId val="6247917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133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USD!$H$1801:$H$1807</c:f>
              <c:numCache>
                <c:formatCode>dd/mm/yyyy;@</c:formatCode>
                <c:ptCount val="7"/>
                <c:pt idx="0">
                  <c:v>43217</c:v>
                </c:pt>
                <c:pt idx="1">
                  <c:v>43402</c:v>
                </c:pt>
                <c:pt idx="2">
                  <c:v>43584</c:v>
                </c:pt>
                <c:pt idx="3">
                  <c:v>43766</c:v>
                </c:pt>
                <c:pt idx="4">
                  <c:v>43948</c:v>
                </c:pt>
                <c:pt idx="5">
                  <c:v>44131</c:v>
                </c:pt>
                <c:pt idx="6">
                  <c:v>44313</c:v>
                </c:pt>
              </c:numCache>
            </c:numRef>
          </c:cat>
          <c:val>
            <c:numRef>
              <c:f>USD!$M$1801:$M$1807</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5EC5-499B-981F-00AE29B76136}"/>
            </c:ext>
          </c:extLst>
        </c:ser>
        <c:dLbls>
          <c:showLegendKey val="0"/>
          <c:showVal val="0"/>
          <c:showCatName val="0"/>
          <c:showSerName val="0"/>
          <c:showPercent val="0"/>
          <c:showBubbleSize val="0"/>
        </c:dLbls>
        <c:gapWidth val="0"/>
        <c:axId val="624779576"/>
        <c:axId val="624782320"/>
      </c:barChart>
      <c:lineChart>
        <c:grouping val="standard"/>
        <c:varyColors val="0"/>
        <c:ser>
          <c:idx val="1"/>
          <c:order val="1"/>
          <c:tx>
            <c:v>Acumulado</c:v>
          </c:tx>
          <c:spPr>
            <a:ln w="28575" cap="rnd">
              <a:solidFill>
                <a:schemeClr val="accent2"/>
              </a:solidFill>
              <a:round/>
            </a:ln>
            <a:effectLst/>
          </c:spPr>
          <c:marker>
            <c:symbol val="none"/>
          </c:marker>
          <c:val>
            <c:numRef>
              <c:f>USD!$O$1654:$O$1660</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5EC5-499B-981F-00AE29B76136}"/>
            </c:ext>
          </c:extLst>
        </c:ser>
        <c:dLbls>
          <c:showLegendKey val="0"/>
          <c:showVal val="0"/>
          <c:showCatName val="0"/>
          <c:showSerName val="0"/>
          <c:showPercent val="0"/>
          <c:showBubbleSize val="0"/>
        </c:dLbls>
        <c:marker val="1"/>
        <c:smooth val="0"/>
        <c:axId val="624779576"/>
        <c:axId val="624782320"/>
      </c:lineChart>
      <c:dateAx>
        <c:axId val="6247795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2320"/>
        <c:crosses val="autoZero"/>
        <c:auto val="0"/>
        <c:lblOffset val="50"/>
        <c:baseTimeUnit val="months"/>
        <c:majorUnit val="6"/>
        <c:majorTimeUnit val="months"/>
      </c:dateAx>
      <c:valAx>
        <c:axId val="624782320"/>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5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F821-4704-9FEE-FC22A425E697}"/>
            </c:ext>
          </c:extLst>
        </c:ser>
        <c:dLbls>
          <c:showLegendKey val="0"/>
          <c:showVal val="0"/>
          <c:showCatName val="0"/>
          <c:showSerName val="0"/>
          <c:showPercent val="0"/>
          <c:showBubbleSize val="0"/>
        </c:dLbls>
        <c:gapWidth val="0"/>
        <c:axId val="624781928"/>
        <c:axId val="62478271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F821-4704-9FEE-FC22A425E697}"/>
            </c:ext>
          </c:extLst>
        </c:ser>
        <c:dLbls>
          <c:showLegendKey val="0"/>
          <c:showVal val="0"/>
          <c:showCatName val="0"/>
          <c:showSerName val="0"/>
          <c:showPercent val="0"/>
          <c:showBubbleSize val="0"/>
        </c:dLbls>
        <c:marker val="1"/>
        <c:smooth val="0"/>
        <c:axId val="624781928"/>
        <c:axId val="624782712"/>
      </c:lineChart>
      <c:dateAx>
        <c:axId val="624781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24782712"/>
        <c:crosses val="autoZero"/>
        <c:auto val="0"/>
        <c:lblOffset val="50"/>
        <c:baseTimeUnit val="months"/>
        <c:majorUnit val="6"/>
        <c:majorTimeUnit val="months"/>
        <c:minorUnit val="2"/>
        <c:minorTimeUnit val="months"/>
      </c:dateAx>
      <c:valAx>
        <c:axId val="6247827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192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USD!$H$1763:$H$1771</c:f>
              <c:numCache>
                <c:formatCode>dd/mm/yyyy;@</c:formatCode>
                <c:ptCount val="9"/>
                <c:pt idx="0">
                  <c:v>43441</c:v>
                </c:pt>
                <c:pt idx="1">
                  <c:v>43531</c:v>
                </c:pt>
                <c:pt idx="2">
                  <c:v>43623</c:v>
                </c:pt>
                <c:pt idx="3">
                  <c:v>43717</c:v>
                </c:pt>
                <c:pt idx="4">
                  <c:v>43808</c:v>
                </c:pt>
                <c:pt idx="5">
                  <c:v>43899</c:v>
                </c:pt>
                <c:pt idx="6">
                  <c:v>43990</c:v>
                </c:pt>
                <c:pt idx="7">
                  <c:v>44081</c:v>
                </c:pt>
                <c:pt idx="8">
                  <c:v>44172</c:v>
                </c:pt>
              </c:numCache>
            </c:numRef>
          </c:cat>
          <c:val>
            <c:numRef>
              <c:f>USD!$M$1763:$M$1771</c:f>
              <c:numCache>
                <c:formatCode>#,##0.00</c:formatCode>
                <c:ptCount val="9"/>
                <c:pt idx="0">
                  <c:v>-200000</c:v>
                </c:pt>
                <c:pt idx="1">
                  <c:v>29808.219178082192</c:v>
                </c:pt>
                <c:pt idx="2">
                  <c:v>29300.68493150685</c:v>
                </c:pt>
                <c:pt idx="3">
                  <c:v>28766.438356164384</c:v>
                </c:pt>
                <c:pt idx="4">
                  <c:v>28038.527397260274</c:v>
                </c:pt>
                <c:pt idx="5">
                  <c:v>27430.821917808218</c:v>
                </c:pt>
                <c:pt idx="6">
                  <c:v>26823.116438356163</c:v>
                </c:pt>
                <c:pt idx="7">
                  <c:v>26215.410958904111</c:v>
                </c:pt>
                <c:pt idx="8">
                  <c:v>25607.705479452055</c:v>
                </c:pt>
              </c:numCache>
            </c:numRef>
          </c:val>
          <c:extLst>
            <c:ext xmlns:c16="http://schemas.microsoft.com/office/drawing/2014/chart" uri="{C3380CC4-5D6E-409C-BE32-E72D297353CC}">
              <c16:uniqueId val="{00000000-7CD2-457D-A2FF-D371D65D016A}"/>
            </c:ext>
          </c:extLst>
        </c:ser>
        <c:dLbls>
          <c:showLegendKey val="0"/>
          <c:showVal val="0"/>
          <c:showCatName val="0"/>
          <c:showSerName val="0"/>
          <c:showPercent val="0"/>
          <c:showBubbleSize val="0"/>
        </c:dLbls>
        <c:gapWidth val="0"/>
        <c:axId val="624780752"/>
        <c:axId val="624781536"/>
      </c:barChart>
      <c:lineChart>
        <c:grouping val="standard"/>
        <c:varyColors val="0"/>
        <c:ser>
          <c:idx val="1"/>
          <c:order val="1"/>
          <c:tx>
            <c:v>Acumulado</c:v>
          </c:tx>
          <c:spPr>
            <a:ln w="28575" cap="rnd">
              <a:solidFill>
                <a:schemeClr val="accent2"/>
              </a:solidFill>
              <a:round/>
            </a:ln>
            <a:effectLst/>
          </c:spPr>
          <c:marker>
            <c:symbol val="none"/>
          </c:marker>
          <c:val>
            <c:numRef>
              <c:f>USD!$O$1616:$O$1624</c:f>
              <c:numCache>
                <c:formatCode>#,##0.00</c:formatCode>
                <c:ptCount val="9"/>
                <c:pt idx="0">
                  <c:v>-200000</c:v>
                </c:pt>
                <c:pt idx="1">
                  <c:v>-170191.78082191781</c:v>
                </c:pt>
                <c:pt idx="2">
                  <c:v>-140891.09589041097</c:v>
                </c:pt>
                <c:pt idx="3">
                  <c:v>-112124.65753424659</c:v>
                </c:pt>
                <c:pt idx="4">
                  <c:v>-84086.130136986321</c:v>
                </c:pt>
                <c:pt idx="5">
                  <c:v>-56655.3082191781</c:v>
                </c:pt>
                <c:pt idx="6">
                  <c:v>-29832.191780821937</c:v>
                </c:pt>
                <c:pt idx="7">
                  <c:v>-3616.780821917826</c:v>
                </c:pt>
                <c:pt idx="8">
                  <c:v>21990.924657534229</c:v>
                </c:pt>
              </c:numCache>
            </c:numRef>
          </c:val>
          <c:smooth val="0"/>
          <c:extLst>
            <c:ext xmlns:c16="http://schemas.microsoft.com/office/drawing/2014/chart" uri="{C3380CC4-5D6E-409C-BE32-E72D297353CC}">
              <c16:uniqueId val="{00000001-7CD2-457D-A2FF-D371D65D016A}"/>
            </c:ext>
          </c:extLst>
        </c:ser>
        <c:dLbls>
          <c:showLegendKey val="0"/>
          <c:showVal val="0"/>
          <c:showCatName val="0"/>
          <c:showSerName val="0"/>
          <c:showPercent val="0"/>
          <c:showBubbleSize val="0"/>
        </c:dLbls>
        <c:marker val="1"/>
        <c:smooth val="0"/>
        <c:axId val="624780752"/>
        <c:axId val="624781536"/>
      </c:lineChart>
      <c:dateAx>
        <c:axId val="624780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536"/>
        <c:crosses val="autoZero"/>
        <c:auto val="0"/>
        <c:lblOffset val="50"/>
        <c:baseTimeUnit val="months"/>
        <c:majorUnit val="6"/>
        <c:majorTimeUnit val="months"/>
      </c:dateAx>
      <c:valAx>
        <c:axId val="62478153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7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USD!$H$1723:$H$1731</c:f>
              <c:numCache>
                <c:formatCode>dd/mm/yyyy;@</c:formatCode>
                <c:ptCount val="9"/>
                <c:pt idx="0">
                  <c:v>43322</c:v>
                </c:pt>
                <c:pt idx="1">
                  <c:v>43416</c:v>
                </c:pt>
                <c:pt idx="2">
                  <c:v>43507</c:v>
                </c:pt>
                <c:pt idx="3">
                  <c:v>43595</c:v>
                </c:pt>
                <c:pt idx="4">
                  <c:v>43689</c:v>
                </c:pt>
                <c:pt idx="5">
                  <c:v>43780</c:v>
                </c:pt>
                <c:pt idx="6">
                  <c:v>43871</c:v>
                </c:pt>
                <c:pt idx="7">
                  <c:v>43962</c:v>
                </c:pt>
                <c:pt idx="8">
                  <c:v>44053</c:v>
                </c:pt>
              </c:numCache>
            </c:numRef>
          </c:cat>
          <c:val>
            <c:numRef>
              <c:f>USD!$M$1723:$M$1731</c:f>
              <c:numCache>
                <c:formatCode>#,##0.00</c:formatCode>
                <c:ptCount val="9"/>
                <c:pt idx="0">
                  <c:v>-600000</c:v>
                </c:pt>
                <c:pt idx="1">
                  <c:v>15065.753424657536</c:v>
                </c:pt>
                <c:pt idx="2">
                  <c:v>100299.21722113503</c:v>
                </c:pt>
                <c:pt idx="3">
                  <c:v>97803.52250489236</c:v>
                </c:pt>
                <c:pt idx="4">
                  <c:v>96475.538160469659</c:v>
                </c:pt>
                <c:pt idx="5">
                  <c:v>94048.532289628172</c:v>
                </c:pt>
                <c:pt idx="6">
                  <c:v>91964.970645792564</c:v>
                </c:pt>
                <c:pt idx="7">
                  <c:v>89881.409001956941</c:v>
                </c:pt>
                <c:pt idx="8">
                  <c:v>87797.847358121333</c:v>
                </c:pt>
              </c:numCache>
            </c:numRef>
          </c:val>
          <c:extLst>
            <c:ext xmlns:c16="http://schemas.microsoft.com/office/drawing/2014/chart" uri="{C3380CC4-5D6E-409C-BE32-E72D297353CC}">
              <c16:uniqueId val="{00000000-AF80-477D-BA6B-1D1DA78691B8}"/>
            </c:ext>
          </c:extLst>
        </c:ser>
        <c:dLbls>
          <c:showLegendKey val="0"/>
          <c:showVal val="0"/>
          <c:showCatName val="0"/>
          <c:showSerName val="0"/>
          <c:showPercent val="0"/>
          <c:showBubbleSize val="0"/>
        </c:dLbls>
        <c:gapWidth val="0"/>
        <c:axId val="624783888"/>
        <c:axId val="624788592"/>
      </c:barChart>
      <c:lineChart>
        <c:grouping val="standard"/>
        <c:varyColors val="0"/>
        <c:ser>
          <c:idx val="1"/>
          <c:order val="1"/>
          <c:tx>
            <c:v>Acumulado</c:v>
          </c:tx>
          <c:spPr>
            <a:ln w="28575" cap="rnd">
              <a:solidFill>
                <a:schemeClr val="accent2"/>
              </a:solidFill>
              <a:round/>
            </a:ln>
            <a:effectLst/>
          </c:spPr>
          <c:marker>
            <c:symbol val="none"/>
          </c:marker>
          <c:val>
            <c:numRef>
              <c:f>USD!$O$1579:$O$1587</c:f>
              <c:numCache>
                <c:formatCode>#,##0.00</c:formatCode>
                <c:ptCount val="9"/>
                <c:pt idx="0">
                  <c:v>-600000</c:v>
                </c:pt>
                <c:pt idx="1">
                  <c:v>-584934.24657534249</c:v>
                </c:pt>
                <c:pt idx="2">
                  <c:v>-484635.02935420745</c:v>
                </c:pt>
                <c:pt idx="3">
                  <c:v>-386831.50684931508</c:v>
                </c:pt>
                <c:pt idx="4">
                  <c:v>-290355.9686888454</c:v>
                </c:pt>
                <c:pt idx="5">
                  <c:v>-196307.43639921723</c:v>
                </c:pt>
                <c:pt idx="6">
                  <c:v>-104342.46575342467</c:v>
                </c:pt>
                <c:pt idx="7">
                  <c:v>-14461.056751467724</c:v>
                </c:pt>
                <c:pt idx="8">
                  <c:v>73336.790606653609</c:v>
                </c:pt>
              </c:numCache>
            </c:numRef>
          </c:val>
          <c:smooth val="0"/>
          <c:extLst>
            <c:ext xmlns:c16="http://schemas.microsoft.com/office/drawing/2014/chart" uri="{C3380CC4-5D6E-409C-BE32-E72D297353CC}">
              <c16:uniqueId val="{00000001-AF80-477D-BA6B-1D1DA78691B8}"/>
            </c:ext>
          </c:extLst>
        </c:ser>
        <c:dLbls>
          <c:showLegendKey val="0"/>
          <c:showVal val="0"/>
          <c:showCatName val="0"/>
          <c:showSerName val="0"/>
          <c:showPercent val="0"/>
          <c:showBubbleSize val="0"/>
        </c:dLbls>
        <c:marker val="1"/>
        <c:smooth val="0"/>
        <c:axId val="624783888"/>
        <c:axId val="624788592"/>
      </c:lineChart>
      <c:dateAx>
        <c:axId val="624783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592"/>
        <c:crosses val="autoZero"/>
        <c:auto val="0"/>
        <c:lblOffset val="50"/>
        <c:baseTimeUnit val="months"/>
        <c:majorUnit val="3"/>
        <c:majorTimeUnit val="months"/>
      </c:dateAx>
      <c:valAx>
        <c:axId val="624788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38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USD!$H$1652:$H$1658</c:f>
              <c:numCache>
                <c:formatCode>dd/mm/yyyy;@</c:formatCode>
                <c:ptCount val="7"/>
                <c:pt idx="0">
                  <c:v>43880</c:v>
                </c:pt>
                <c:pt idx="1">
                  <c:v>43970</c:v>
                </c:pt>
                <c:pt idx="2">
                  <c:v>44062</c:v>
                </c:pt>
                <c:pt idx="3">
                  <c:v>44154</c:v>
                </c:pt>
                <c:pt idx="4">
                  <c:v>44246</c:v>
                </c:pt>
                <c:pt idx="5">
                  <c:v>44335</c:v>
                </c:pt>
                <c:pt idx="6">
                  <c:v>44427</c:v>
                </c:pt>
              </c:numCache>
            </c:numRef>
          </c:cat>
          <c:val>
            <c:numRef>
              <c:f>USD!$M$1652:$M$1658</c:f>
              <c:numCache>
                <c:formatCode>#,##0.00</c:formatCode>
                <c:ptCount val="7"/>
                <c:pt idx="0">
                  <c:v>-3338830</c:v>
                </c:pt>
                <c:pt idx="1">
                  <c:v>86443.680821917806</c:v>
                </c:pt>
                <c:pt idx="2">
                  <c:v>88364.651506849317</c:v>
                </c:pt>
                <c:pt idx="3">
                  <c:v>88364.651506849317</c:v>
                </c:pt>
                <c:pt idx="4">
                  <c:v>88364.651506849317</c:v>
                </c:pt>
                <c:pt idx="5">
                  <c:v>85483.195479452042</c:v>
                </c:pt>
                <c:pt idx="6">
                  <c:v>3427194.6515068491</c:v>
                </c:pt>
              </c:numCache>
            </c:numRef>
          </c:val>
          <c:extLst>
            <c:ext xmlns:c16="http://schemas.microsoft.com/office/drawing/2014/chart" uri="{C3380CC4-5D6E-409C-BE32-E72D297353CC}">
              <c16:uniqueId val="{00000000-FE29-48E3-942D-3716447FC2FE}"/>
            </c:ext>
          </c:extLst>
        </c:ser>
        <c:dLbls>
          <c:showLegendKey val="0"/>
          <c:showVal val="0"/>
          <c:showCatName val="0"/>
          <c:showSerName val="0"/>
          <c:showPercent val="0"/>
          <c:showBubbleSize val="0"/>
        </c:dLbls>
        <c:gapWidth val="0"/>
        <c:axId val="624780360"/>
        <c:axId val="624781144"/>
      </c:barChart>
      <c:lineChart>
        <c:grouping val="standard"/>
        <c:varyColors val="0"/>
        <c:ser>
          <c:idx val="1"/>
          <c:order val="1"/>
          <c:tx>
            <c:v>Acumulado</c:v>
          </c:tx>
          <c:spPr>
            <a:ln w="28575" cap="rnd">
              <a:solidFill>
                <a:schemeClr val="accent2"/>
              </a:solidFill>
              <a:round/>
            </a:ln>
            <a:effectLst/>
          </c:spPr>
          <c:marker>
            <c:symbol val="none"/>
          </c:marker>
          <c:val>
            <c:numRef>
              <c:f>USD!$O$1510:$O$1518</c:f>
              <c:numCache>
                <c:formatCode>#,##0.00</c:formatCode>
                <c:ptCount val="9"/>
                <c:pt idx="0">
                  <c:v>-3338830</c:v>
                </c:pt>
                <c:pt idx="1">
                  <c:v>-3252386.319178082</c:v>
                </c:pt>
                <c:pt idx="2">
                  <c:v>-3164021.6676712329</c:v>
                </c:pt>
                <c:pt idx="3">
                  <c:v>-3075657.0161643839</c:v>
                </c:pt>
                <c:pt idx="4">
                  <c:v>-2987292.3646575348</c:v>
                </c:pt>
                <c:pt idx="5">
                  <c:v>-2901809.1691780826</c:v>
                </c:pt>
                <c:pt idx="6">
                  <c:v>525385.48232876649</c:v>
                </c:pt>
              </c:numCache>
            </c:numRef>
          </c:val>
          <c:smooth val="0"/>
          <c:extLst>
            <c:ext xmlns:c16="http://schemas.microsoft.com/office/drawing/2014/chart" uri="{C3380CC4-5D6E-409C-BE32-E72D297353CC}">
              <c16:uniqueId val="{00000001-FE29-48E3-942D-3716447FC2FE}"/>
            </c:ext>
          </c:extLst>
        </c:ser>
        <c:dLbls>
          <c:showLegendKey val="0"/>
          <c:showVal val="0"/>
          <c:showCatName val="0"/>
          <c:showSerName val="0"/>
          <c:showPercent val="0"/>
          <c:showBubbleSize val="0"/>
        </c:dLbls>
        <c:marker val="1"/>
        <c:smooth val="0"/>
        <c:axId val="624780360"/>
        <c:axId val="624781144"/>
      </c:lineChart>
      <c:dateAx>
        <c:axId val="6247803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1144"/>
        <c:crosses val="autoZero"/>
        <c:auto val="0"/>
        <c:lblOffset val="50"/>
        <c:baseTimeUnit val="months"/>
        <c:majorUnit val="3"/>
        <c:majorTimeUnit val="months"/>
      </c:dateAx>
      <c:valAx>
        <c:axId val="62478114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03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ARS!$H$52:$H$58</c:f>
              <c:numCache>
                <c:formatCode>dd/mm/yyyy;@</c:formatCode>
                <c:ptCount val="7"/>
                <c:pt idx="0">
                  <c:v>43382</c:v>
                </c:pt>
                <c:pt idx="1">
                  <c:v>43564</c:v>
                </c:pt>
                <c:pt idx="2">
                  <c:v>43747</c:v>
                </c:pt>
                <c:pt idx="3">
                  <c:v>43930</c:v>
                </c:pt>
                <c:pt idx="4">
                  <c:v>44113</c:v>
                </c:pt>
                <c:pt idx="5">
                  <c:v>44295</c:v>
                </c:pt>
                <c:pt idx="6">
                  <c:v>44480</c:v>
                </c:pt>
              </c:numCache>
            </c:numRef>
          </c:cat>
          <c:val>
            <c:numRef>
              <c:f>ARS!$M$52:$M$58</c:f>
              <c:numCache>
                <c:formatCode>#,##0.00</c:formatCode>
                <c:ptCount val="7"/>
                <c:pt idx="0">
                  <c:v>-5900000</c:v>
                </c:pt>
                <c:pt idx="1">
                  <c:v>1565958.3333333333</c:v>
                </c:pt>
                <c:pt idx="2">
                  <c:v>2987935.15625</c:v>
                </c:pt>
                <c:pt idx="3">
                  <c:v>2402160.4166666665</c:v>
                </c:pt>
                <c:pt idx="4">
                  <c:v>1834005.78125</c:v>
                </c:pt>
                <c:pt idx="5">
                  <c:v>1655753.0555555555</c:v>
                </c:pt>
                <c:pt idx="6">
                  <c:v>1435441.3194444445</c:v>
                </c:pt>
              </c:numCache>
            </c:numRef>
          </c:val>
          <c:extLst>
            <c:ext xmlns:c16="http://schemas.microsoft.com/office/drawing/2014/chart" uri="{C3380CC4-5D6E-409C-BE32-E72D297353CC}">
              <c16:uniqueId val="{00000000-9170-4ECB-8A73-DA28381F4E02}"/>
            </c:ext>
          </c:extLst>
        </c:ser>
        <c:dLbls>
          <c:showLegendKey val="0"/>
          <c:showVal val="0"/>
          <c:showCatName val="0"/>
          <c:showSerName val="0"/>
          <c:showPercent val="0"/>
          <c:showBubbleSize val="0"/>
        </c:dLbls>
        <c:gapWidth val="0"/>
        <c:axId val="600733128"/>
        <c:axId val="600727640"/>
      </c:barChart>
      <c:lineChart>
        <c:grouping val="standard"/>
        <c:varyColors val="0"/>
        <c:ser>
          <c:idx val="1"/>
          <c:order val="1"/>
          <c:tx>
            <c:v>Acumulado</c:v>
          </c:tx>
          <c:spPr>
            <a:ln w="28575" cap="rnd">
              <a:solidFill>
                <a:schemeClr val="accent2"/>
              </a:solidFill>
              <a:round/>
            </a:ln>
            <a:effectLst/>
          </c:spPr>
          <c:marker>
            <c:symbol val="none"/>
          </c:marker>
          <c:val>
            <c:numRef>
              <c:f>ARS!$O$52:$O$58</c:f>
              <c:numCache>
                <c:formatCode>#,##0.00</c:formatCode>
                <c:ptCount val="7"/>
                <c:pt idx="0">
                  <c:v>-5900000</c:v>
                </c:pt>
                <c:pt idx="1">
                  <c:v>-4334041.666666667</c:v>
                </c:pt>
                <c:pt idx="2">
                  <c:v>-1346106.510416667</c:v>
                </c:pt>
                <c:pt idx="3">
                  <c:v>1056053.9062499995</c:v>
                </c:pt>
                <c:pt idx="4">
                  <c:v>2890059.6874999995</c:v>
                </c:pt>
                <c:pt idx="5">
                  <c:v>4545812.743055555</c:v>
                </c:pt>
                <c:pt idx="6">
                  <c:v>5981254.0625</c:v>
                </c:pt>
              </c:numCache>
            </c:numRef>
          </c:val>
          <c:smooth val="0"/>
          <c:extLst>
            <c:ext xmlns:c16="http://schemas.microsoft.com/office/drawing/2014/chart" uri="{C3380CC4-5D6E-409C-BE32-E72D297353CC}">
              <c16:uniqueId val="{00000001-9170-4ECB-8A73-DA28381F4E02}"/>
            </c:ext>
          </c:extLst>
        </c:ser>
        <c:dLbls>
          <c:showLegendKey val="0"/>
          <c:showVal val="0"/>
          <c:showCatName val="0"/>
          <c:showSerName val="0"/>
          <c:showPercent val="0"/>
          <c:showBubbleSize val="0"/>
        </c:dLbls>
        <c:marker val="1"/>
        <c:smooth val="0"/>
        <c:axId val="600733128"/>
        <c:axId val="600727640"/>
      </c:lineChart>
      <c:dateAx>
        <c:axId val="6007331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7640"/>
        <c:crosses val="autoZero"/>
        <c:auto val="0"/>
        <c:lblOffset val="50"/>
        <c:baseTimeUnit val="months"/>
        <c:majorUnit val="6"/>
        <c:majorTimeUnit val="months"/>
      </c:dateAx>
      <c:valAx>
        <c:axId val="600727640"/>
        <c:scaling>
          <c:orientation val="minMax"/>
          <c:max val="6000000"/>
          <c:min val="-6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128"/>
        <c:crosses val="autoZero"/>
        <c:crossBetween val="between"/>
        <c:majorUnit val="2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USD!$H$1689:$H$1693</c:f>
              <c:numCache>
                <c:formatCode>dd/mm/yyyy;@</c:formatCode>
                <c:ptCount val="5"/>
                <c:pt idx="0">
                  <c:v>43880</c:v>
                </c:pt>
                <c:pt idx="1">
                  <c:v>43970</c:v>
                </c:pt>
                <c:pt idx="2">
                  <c:v>44062</c:v>
                </c:pt>
                <c:pt idx="3">
                  <c:v>44154</c:v>
                </c:pt>
                <c:pt idx="4">
                  <c:v>44246</c:v>
                </c:pt>
              </c:numCache>
            </c:numRef>
          </c:cat>
          <c:val>
            <c:numRef>
              <c:f>USD!$M$1689:$M$1693</c:f>
              <c:numCache>
                <c:formatCode>#,##0.00</c:formatCode>
                <c:ptCount val="5"/>
                <c:pt idx="0">
                  <c:v>-4281581</c:v>
                </c:pt>
                <c:pt idx="1">
                  <c:v>100294.56863013699</c:v>
                </c:pt>
                <c:pt idx="2">
                  <c:v>102523.33682191781</c:v>
                </c:pt>
                <c:pt idx="3">
                  <c:v>102523.33682191781</c:v>
                </c:pt>
                <c:pt idx="4">
                  <c:v>4384104.3368219174</c:v>
                </c:pt>
              </c:numCache>
            </c:numRef>
          </c:val>
          <c:extLst>
            <c:ext xmlns:c16="http://schemas.microsoft.com/office/drawing/2014/chart" uri="{C3380CC4-5D6E-409C-BE32-E72D297353CC}">
              <c16:uniqueId val="{00000000-852D-42AB-8A57-E3B3778721A0}"/>
            </c:ext>
          </c:extLst>
        </c:ser>
        <c:dLbls>
          <c:showLegendKey val="0"/>
          <c:showVal val="0"/>
          <c:showCatName val="0"/>
          <c:showSerName val="0"/>
          <c:showPercent val="0"/>
          <c:showBubbleSize val="0"/>
        </c:dLbls>
        <c:gapWidth val="0"/>
        <c:axId val="624790944"/>
        <c:axId val="624788200"/>
      </c:barChart>
      <c:lineChart>
        <c:grouping val="standard"/>
        <c:varyColors val="0"/>
        <c:ser>
          <c:idx val="1"/>
          <c:order val="1"/>
          <c:tx>
            <c:v>Acumulado</c:v>
          </c:tx>
          <c:spPr>
            <a:ln w="28575" cap="rnd">
              <a:solidFill>
                <a:schemeClr val="accent2"/>
              </a:solidFill>
              <a:round/>
            </a:ln>
            <a:effectLst/>
          </c:spPr>
          <c:marker>
            <c:symbol val="none"/>
          </c:marker>
          <c:val>
            <c:numRef>
              <c:f>USD!$O$1542:$O$1548</c:f>
              <c:numCache>
                <c:formatCode>#,##0.00</c:formatCode>
                <c:ptCount val="7"/>
                <c:pt idx="0">
                  <c:v>-4281581</c:v>
                </c:pt>
                <c:pt idx="1">
                  <c:v>-4181286.431369863</c:v>
                </c:pt>
                <c:pt idx="2">
                  <c:v>-4078763.0945479451</c:v>
                </c:pt>
                <c:pt idx="3">
                  <c:v>-3976239.7577260272</c:v>
                </c:pt>
                <c:pt idx="4">
                  <c:v>407864.57909589028</c:v>
                </c:pt>
              </c:numCache>
            </c:numRef>
          </c:val>
          <c:smooth val="0"/>
          <c:extLst>
            <c:ext xmlns:c16="http://schemas.microsoft.com/office/drawing/2014/chart" uri="{C3380CC4-5D6E-409C-BE32-E72D297353CC}">
              <c16:uniqueId val="{00000001-852D-42AB-8A57-E3B3778721A0}"/>
            </c:ext>
          </c:extLst>
        </c:ser>
        <c:dLbls>
          <c:showLegendKey val="0"/>
          <c:showVal val="0"/>
          <c:showCatName val="0"/>
          <c:showSerName val="0"/>
          <c:showPercent val="0"/>
          <c:showBubbleSize val="0"/>
        </c:dLbls>
        <c:marker val="1"/>
        <c:smooth val="0"/>
        <c:axId val="624790944"/>
        <c:axId val="624788200"/>
      </c:lineChart>
      <c:dateAx>
        <c:axId val="6247909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8200"/>
        <c:crosses val="autoZero"/>
        <c:auto val="0"/>
        <c:lblOffset val="50"/>
        <c:baseTimeUnit val="months"/>
        <c:majorUnit val="3"/>
        <c:majorTimeUnit val="months"/>
      </c:dateAx>
      <c:valAx>
        <c:axId val="624788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9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USD!$H$1571:$H$1577</c:f>
              <c:numCache>
                <c:formatCode>dd/mm/yyyy;@</c:formatCode>
                <c:ptCount val="7"/>
                <c:pt idx="0">
                  <c:v>43675</c:v>
                </c:pt>
                <c:pt idx="1">
                  <c:v>43859</c:v>
                </c:pt>
                <c:pt idx="2">
                  <c:v>44041</c:v>
                </c:pt>
                <c:pt idx="3">
                  <c:v>44225</c:v>
                </c:pt>
                <c:pt idx="4">
                  <c:v>44406</c:v>
                </c:pt>
                <c:pt idx="5">
                  <c:v>44592</c:v>
                </c:pt>
                <c:pt idx="6">
                  <c:v>44771</c:v>
                </c:pt>
              </c:numCache>
            </c:numRef>
          </c:cat>
          <c:val>
            <c:numRef>
              <c:f>USD!$M$1571:$M$1577</c:f>
              <c:numCache>
                <c:formatCode>#,##0.00</c:formatCode>
                <c:ptCount val="7"/>
                <c:pt idx="0">
                  <c:v>-100000</c:v>
                </c:pt>
                <c:pt idx="1">
                  <c:v>20279.890410958906</c:v>
                </c:pt>
                <c:pt idx="2">
                  <c:v>19556.030684931506</c:v>
                </c:pt>
                <c:pt idx="3">
                  <c:v>19910.325479452054</c:v>
                </c:pt>
                <c:pt idx="4">
                  <c:v>19147.155890410959</c:v>
                </c:pt>
                <c:pt idx="5">
                  <c:v>18470.979726027399</c:v>
                </c:pt>
                <c:pt idx="6">
                  <c:v>17707.8101369863</c:v>
                </c:pt>
              </c:numCache>
            </c:numRef>
          </c:val>
          <c:extLst>
            <c:ext xmlns:c16="http://schemas.microsoft.com/office/drawing/2014/chart" uri="{C3380CC4-5D6E-409C-BE32-E72D297353CC}">
              <c16:uniqueId val="{00000000-AB19-44A1-861E-F2D6A72889D4}"/>
            </c:ext>
          </c:extLst>
        </c:ser>
        <c:dLbls>
          <c:showLegendKey val="0"/>
          <c:showVal val="0"/>
          <c:showCatName val="0"/>
          <c:showSerName val="0"/>
          <c:showPercent val="0"/>
          <c:showBubbleSize val="0"/>
        </c:dLbls>
        <c:gapWidth val="0"/>
        <c:axId val="624787416"/>
        <c:axId val="624789376"/>
      </c:barChart>
      <c:lineChart>
        <c:grouping val="standard"/>
        <c:varyColors val="0"/>
        <c:ser>
          <c:idx val="1"/>
          <c:order val="1"/>
          <c:tx>
            <c:v>Acumulado</c:v>
          </c:tx>
          <c:spPr>
            <a:ln w="28575" cap="rnd">
              <a:solidFill>
                <a:schemeClr val="accent2"/>
              </a:solidFill>
              <a:round/>
            </a:ln>
            <a:effectLst/>
          </c:spPr>
          <c:marker>
            <c:symbol val="none"/>
          </c:marker>
          <c:val>
            <c:numRef>
              <c:f>USD!$O$1430:$O$1436</c:f>
              <c:numCache>
                <c:formatCode>#,##0.00</c:formatCode>
                <c:ptCount val="7"/>
                <c:pt idx="0">
                  <c:v>-100000</c:v>
                </c:pt>
                <c:pt idx="1">
                  <c:v>-79720.109589041094</c:v>
                </c:pt>
                <c:pt idx="2">
                  <c:v>-60164.078904109585</c:v>
                </c:pt>
                <c:pt idx="3">
                  <c:v>-40253.753424657531</c:v>
                </c:pt>
                <c:pt idx="4">
                  <c:v>-21106.597534246572</c:v>
                </c:pt>
                <c:pt idx="5">
                  <c:v>-2635.6178082191727</c:v>
                </c:pt>
                <c:pt idx="6">
                  <c:v>15072.192328767127</c:v>
                </c:pt>
              </c:numCache>
            </c:numRef>
          </c:val>
          <c:smooth val="0"/>
          <c:extLst>
            <c:ext xmlns:c16="http://schemas.microsoft.com/office/drawing/2014/chart" uri="{C3380CC4-5D6E-409C-BE32-E72D297353CC}">
              <c16:uniqueId val="{00000001-AB19-44A1-861E-F2D6A72889D4}"/>
            </c:ext>
          </c:extLst>
        </c:ser>
        <c:dLbls>
          <c:showLegendKey val="0"/>
          <c:showVal val="0"/>
          <c:showCatName val="0"/>
          <c:showSerName val="0"/>
          <c:showPercent val="0"/>
          <c:showBubbleSize val="0"/>
        </c:dLbls>
        <c:marker val="1"/>
        <c:smooth val="0"/>
        <c:axId val="624787416"/>
        <c:axId val="624789376"/>
      </c:lineChart>
      <c:dateAx>
        <c:axId val="624787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376"/>
        <c:crosses val="autoZero"/>
        <c:auto val="0"/>
        <c:lblOffset val="50"/>
        <c:baseTimeUnit val="months"/>
        <c:majorUnit val="6"/>
        <c:majorTimeUnit val="months"/>
      </c:dateAx>
      <c:valAx>
        <c:axId val="6247893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741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USD!$H$1607:$H$1619</c:f>
              <c:numCache>
                <c:formatCode>dd/mm/yyyy;@</c:formatCode>
                <c:ptCount val="13"/>
                <c:pt idx="0">
                  <c:v>43356</c:v>
                </c:pt>
                <c:pt idx="1">
                  <c:v>43447</c:v>
                </c:pt>
                <c:pt idx="2">
                  <c:v>43537</c:v>
                </c:pt>
                <c:pt idx="3">
                  <c:v>43629</c:v>
                </c:pt>
                <c:pt idx="4">
                  <c:v>43721</c:v>
                </c:pt>
                <c:pt idx="5">
                  <c:v>43812</c:v>
                </c:pt>
                <c:pt idx="6">
                  <c:v>43903</c:v>
                </c:pt>
                <c:pt idx="7">
                  <c:v>43997</c:v>
                </c:pt>
                <c:pt idx="8">
                  <c:v>44088</c:v>
                </c:pt>
                <c:pt idx="9">
                  <c:v>44179</c:v>
                </c:pt>
                <c:pt idx="10">
                  <c:v>44270</c:v>
                </c:pt>
                <c:pt idx="11">
                  <c:v>44361</c:v>
                </c:pt>
                <c:pt idx="12">
                  <c:v>44452</c:v>
                </c:pt>
              </c:numCache>
            </c:numRef>
          </c:cat>
          <c:val>
            <c:numRef>
              <c:f>USD!$M$1607:$M$1619</c:f>
              <c:numCache>
                <c:formatCode>#,##0.00</c:formatCode>
                <c:ptCount val="13"/>
                <c:pt idx="0">
                  <c:v>-500000</c:v>
                </c:pt>
                <c:pt idx="1">
                  <c:v>53617.123287671231</c:v>
                </c:pt>
                <c:pt idx="2">
                  <c:v>52499.7095890411</c:v>
                </c:pt>
                <c:pt idx="3">
                  <c:v>51732.998356164389</c:v>
                </c:pt>
                <c:pt idx="4">
                  <c:v>50725.182465753423</c:v>
                </c:pt>
                <c:pt idx="5">
                  <c:v>49629.677808219181</c:v>
                </c:pt>
                <c:pt idx="6">
                  <c:v>48632.816438356167</c:v>
                </c:pt>
                <c:pt idx="7">
                  <c:v>47833.294246575344</c:v>
                </c:pt>
                <c:pt idx="8">
                  <c:v>46639.093698630139</c:v>
                </c:pt>
                <c:pt idx="9">
                  <c:v>45692.232328767124</c:v>
                </c:pt>
                <c:pt idx="10">
                  <c:v>44694.174246575341</c:v>
                </c:pt>
                <c:pt idx="11">
                  <c:v>43696.116164383558</c:v>
                </c:pt>
                <c:pt idx="12">
                  <c:v>42698.058082191783</c:v>
                </c:pt>
              </c:numCache>
            </c:numRef>
          </c:val>
          <c:extLst>
            <c:ext xmlns:c16="http://schemas.microsoft.com/office/drawing/2014/chart" uri="{C3380CC4-5D6E-409C-BE32-E72D297353CC}">
              <c16:uniqueId val="{00000000-837D-4C26-8D21-70412B47AC1A}"/>
            </c:ext>
          </c:extLst>
        </c:ser>
        <c:dLbls>
          <c:showLegendKey val="0"/>
          <c:showVal val="0"/>
          <c:showCatName val="0"/>
          <c:showSerName val="0"/>
          <c:showPercent val="0"/>
          <c:showBubbleSize val="0"/>
        </c:dLbls>
        <c:gapWidth val="0"/>
        <c:axId val="624785064"/>
        <c:axId val="624789768"/>
      </c:barChart>
      <c:lineChart>
        <c:grouping val="standard"/>
        <c:varyColors val="0"/>
        <c:ser>
          <c:idx val="1"/>
          <c:order val="1"/>
          <c:tx>
            <c:v>Acumulado</c:v>
          </c:tx>
          <c:spPr>
            <a:ln w="28575" cap="rnd">
              <a:solidFill>
                <a:schemeClr val="accent2"/>
              </a:solidFill>
              <a:round/>
            </a:ln>
            <a:effectLst/>
          </c:spPr>
          <c:marker>
            <c:symbol val="none"/>
          </c:marker>
          <c:val>
            <c:numRef>
              <c:f>USD!$O$1463:$O$1475</c:f>
              <c:numCache>
                <c:formatCode>#,##0.00</c:formatCode>
                <c:ptCount val="13"/>
                <c:pt idx="0">
                  <c:v>-500000</c:v>
                </c:pt>
                <c:pt idx="1">
                  <c:v>-446382.87671232875</c:v>
                </c:pt>
                <c:pt idx="2">
                  <c:v>-393883.16712328768</c:v>
                </c:pt>
                <c:pt idx="3">
                  <c:v>-342150.16876712331</c:v>
                </c:pt>
                <c:pt idx="4">
                  <c:v>-291424.98630136991</c:v>
                </c:pt>
                <c:pt idx="5">
                  <c:v>-241795.30849315072</c:v>
                </c:pt>
                <c:pt idx="6">
                  <c:v>-193162.49205479457</c:v>
                </c:pt>
                <c:pt idx="7">
                  <c:v>-145329.19780821924</c:v>
                </c:pt>
                <c:pt idx="8">
                  <c:v>-98690.104109589098</c:v>
                </c:pt>
                <c:pt idx="9">
                  <c:v>-52997.871780821974</c:v>
                </c:pt>
                <c:pt idx="10">
                  <c:v>-8303.6975342466321</c:v>
                </c:pt>
                <c:pt idx="11">
                  <c:v>35392.418630136926</c:v>
                </c:pt>
                <c:pt idx="12">
                  <c:v>78090.476712328702</c:v>
                </c:pt>
              </c:numCache>
            </c:numRef>
          </c:val>
          <c:smooth val="0"/>
          <c:extLst>
            <c:ext xmlns:c16="http://schemas.microsoft.com/office/drawing/2014/chart" uri="{C3380CC4-5D6E-409C-BE32-E72D297353CC}">
              <c16:uniqueId val="{00000001-837D-4C26-8D21-70412B47AC1A}"/>
            </c:ext>
          </c:extLst>
        </c:ser>
        <c:dLbls>
          <c:showLegendKey val="0"/>
          <c:showVal val="0"/>
          <c:showCatName val="0"/>
          <c:showSerName val="0"/>
          <c:showPercent val="0"/>
          <c:showBubbleSize val="0"/>
        </c:dLbls>
        <c:marker val="1"/>
        <c:smooth val="0"/>
        <c:axId val="624785064"/>
        <c:axId val="624789768"/>
      </c:lineChart>
      <c:dateAx>
        <c:axId val="6247850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9768"/>
        <c:crosses val="autoZero"/>
        <c:auto val="0"/>
        <c:lblOffset val="50"/>
        <c:baseTimeUnit val="months"/>
        <c:majorUnit val="6"/>
        <c:majorTimeUnit val="months"/>
      </c:dateAx>
      <c:valAx>
        <c:axId val="62478976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850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AF47-4E87-BD84-7B5C4D521B76}"/>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AF47-4E87-BD84-7B5C4D521B76}"/>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USD!$H$802:$H$808</c:f>
              <c:numCache>
                <c:formatCode>dd/mm/yyyy;@</c:formatCode>
                <c:ptCount val="7"/>
                <c:pt idx="0">
                  <c:v>43172</c:v>
                </c:pt>
                <c:pt idx="1">
                  <c:v>43356</c:v>
                </c:pt>
                <c:pt idx="2">
                  <c:v>43537</c:v>
                </c:pt>
                <c:pt idx="3">
                  <c:v>43721</c:v>
                </c:pt>
                <c:pt idx="4">
                  <c:v>43903</c:v>
                </c:pt>
                <c:pt idx="5">
                  <c:v>44088</c:v>
                </c:pt>
                <c:pt idx="6">
                  <c:v>44270</c:v>
                </c:pt>
              </c:numCache>
            </c:numRef>
          </c:cat>
          <c:val>
            <c:numRef>
              <c:f>USD!$M$802:$M$808</c:f>
              <c:numCache>
                <c:formatCode>#,##0.00</c:formatCode>
                <c:ptCount val="7"/>
                <c:pt idx="0">
                  <c:v>-600000</c:v>
                </c:pt>
                <c:pt idx="1">
                  <c:v>19660.273972602739</c:v>
                </c:pt>
                <c:pt idx="2">
                  <c:v>19339.726027397261</c:v>
                </c:pt>
                <c:pt idx="3">
                  <c:v>169660.27397260274</c:v>
                </c:pt>
                <c:pt idx="4">
                  <c:v>164584.9315068493</c:v>
                </c:pt>
                <c:pt idx="5">
                  <c:v>159883.56164383562</c:v>
                </c:pt>
                <c:pt idx="6">
                  <c:v>154861.64383561644</c:v>
                </c:pt>
              </c:numCache>
            </c:numRef>
          </c:val>
          <c:extLst>
            <c:ext xmlns:c16="http://schemas.microsoft.com/office/drawing/2014/chart" uri="{C3380CC4-5D6E-409C-BE32-E72D297353CC}">
              <c16:uniqueId val="{00000000-C335-482B-8A9B-CBE1A25CBA53}"/>
            </c:ext>
          </c:extLst>
        </c:ser>
        <c:dLbls>
          <c:showLegendKey val="0"/>
          <c:showVal val="0"/>
          <c:showCatName val="0"/>
          <c:showSerName val="0"/>
          <c:showPercent val="0"/>
          <c:showBubbleSize val="0"/>
        </c:dLbls>
        <c:gapWidth val="0"/>
        <c:axId val="624794864"/>
        <c:axId val="624798784"/>
      </c:barChart>
      <c:lineChart>
        <c:grouping val="standard"/>
        <c:varyColors val="0"/>
        <c:ser>
          <c:idx val="1"/>
          <c:order val="1"/>
          <c:tx>
            <c:v>Acumulado</c:v>
          </c:tx>
          <c:spPr>
            <a:ln w="28575" cap="rnd">
              <a:solidFill>
                <a:schemeClr val="accent2"/>
              </a:solidFill>
              <a:round/>
            </a:ln>
            <a:effectLst/>
          </c:spPr>
          <c:marker>
            <c:symbol val="none"/>
          </c:marker>
          <c:val>
            <c:numRef>
              <c:f>USD!$O$687:$O$693</c:f>
              <c:numCache>
                <c:formatCode>#,##0.00</c:formatCode>
                <c:ptCount val="7"/>
                <c:pt idx="0">
                  <c:v>-600000</c:v>
                </c:pt>
                <c:pt idx="1">
                  <c:v>-580339.72602739721</c:v>
                </c:pt>
                <c:pt idx="2">
                  <c:v>-561000</c:v>
                </c:pt>
                <c:pt idx="3">
                  <c:v>-391339.72602739726</c:v>
                </c:pt>
                <c:pt idx="4">
                  <c:v>-226754.79452054796</c:v>
                </c:pt>
                <c:pt idx="5">
                  <c:v>-66871.23287671234</c:v>
                </c:pt>
                <c:pt idx="6">
                  <c:v>87990.410958904104</c:v>
                </c:pt>
              </c:numCache>
            </c:numRef>
          </c:val>
          <c:smooth val="0"/>
          <c:extLst>
            <c:ext xmlns:c16="http://schemas.microsoft.com/office/drawing/2014/chart" uri="{C3380CC4-5D6E-409C-BE32-E72D297353CC}">
              <c16:uniqueId val="{00000001-C335-482B-8A9B-CBE1A25CBA53}"/>
            </c:ext>
          </c:extLst>
        </c:ser>
        <c:dLbls>
          <c:showLegendKey val="0"/>
          <c:showVal val="0"/>
          <c:showCatName val="0"/>
          <c:showSerName val="0"/>
          <c:showPercent val="0"/>
          <c:showBubbleSize val="0"/>
        </c:dLbls>
        <c:marker val="1"/>
        <c:smooth val="0"/>
        <c:axId val="624794864"/>
        <c:axId val="624798784"/>
      </c:lineChart>
      <c:dateAx>
        <c:axId val="6247948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8784"/>
        <c:crosses val="autoZero"/>
        <c:auto val="0"/>
        <c:lblOffset val="50"/>
        <c:baseTimeUnit val="months"/>
        <c:majorUnit val="6"/>
        <c:majorTimeUnit val="months"/>
      </c:dateAx>
      <c:valAx>
        <c:axId val="624798784"/>
        <c:scaling>
          <c:orientation val="minMax"/>
          <c:max val="200000"/>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486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USD!$H$838:$H$844</c:f>
              <c:numCache>
                <c:formatCode>dd/mm/yyyy;@</c:formatCode>
                <c:ptCount val="7"/>
                <c:pt idx="0">
                  <c:v>43304</c:v>
                </c:pt>
                <c:pt idx="1">
                  <c:v>43488</c:v>
                </c:pt>
                <c:pt idx="2">
                  <c:v>43669</c:v>
                </c:pt>
                <c:pt idx="3">
                  <c:v>43853</c:v>
                </c:pt>
                <c:pt idx="4">
                  <c:v>44035</c:v>
                </c:pt>
                <c:pt idx="5">
                  <c:v>44221</c:v>
                </c:pt>
                <c:pt idx="6">
                  <c:v>44400</c:v>
                </c:pt>
              </c:numCache>
            </c:numRef>
          </c:cat>
          <c:val>
            <c:numRef>
              <c:f>USD!$M$838:$M$844</c:f>
              <c:numCache>
                <c:formatCode>#,##0.00</c:formatCode>
                <c:ptCount val="7"/>
                <c:pt idx="0">
                  <c:v>-300000</c:v>
                </c:pt>
                <c:pt idx="1">
                  <c:v>58459.726027397264</c:v>
                </c:pt>
                <c:pt idx="2">
                  <c:v>56254.232876712325</c:v>
                </c:pt>
                <c:pt idx="3">
                  <c:v>54421.808219178085</c:v>
                </c:pt>
                <c:pt idx="4">
                  <c:v>52322.383561643837</c:v>
                </c:pt>
                <c:pt idx="5">
                  <c:v>50442.410958904111</c:v>
                </c:pt>
                <c:pt idx="6">
                  <c:v>78273.493150684924</c:v>
                </c:pt>
              </c:numCache>
            </c:numRef>
          </c:val>
          <c:extLst>
            <c:ext xmlns:c16="http://schemas.microsoft.com/office/drawing/2014/chart" uri="{C3380CC4-5D6E-409C-BE32-E72D297353CC}">
              <c16:uniqueId val="{00000000-495F-4B96-9BEF-0633ECD3F79B}"/>
            </c:ext>
          </c:extLst>
        </c:ser>
        <c:dLbls>
          <c:showLegendKey val="0"/>
          <c:showVal val="0"/>
          <c:showCatName val="0"/>
          <c:showSerName val="0"/>
          <c:showPercent val="0"/>
          <c:showBubbleSize val="0"/>
        </c:dLbls>
        <c:gapWidth val="0"/>
        <c:axId val="624792904"/>
        <c:axId val="624795256"/>
      </c:barChart>
      <c:lineChart>
        <c:grouping val="standard"/>
        <c:varyColors val="0"/>
        <c:ser>
          <c:idx val="1"/>
          <c:order val="1"/>
          <c:tx>
            <c:v>Acumulado</c:v>
          </c:tx>
          <c:spPr>
            <a:ln w="28575" cap="rnd">
              <a:solidFill>
                <a:schemeClr val="accent2"/>
              </a:solidFill>
              <a:round/>
            </a:ln>
            <a:effectLst/>
          </c:spPr>
          <c:marker>
            <c:symbol val="none"/>
          </c:marker>
          <c:val>
            <c:numRef>
              <c:f>USD!$O$723:$O$730</c:f>
              <c:numCache>
                <c:formatCode>#,##0.00</c:formatCode>
                <c:ptCount val="8"/>
                <c:pt idx="0">
                  <c:v>-300000</c:v>
                </c:pt>
                <c:pt idx="1">
                  <c:v>-241540.27397260274</c:v>
                </c:pt>
                <c:pt idx="2">
                  <c:v>-185286.0410958904</c:v>
                </c:pt>
                <c:pt idx="3">
                  <c:v>-130864.23287671231</c:v>
                </c:pt>
                <c:pt idx="4">
                  <c:v>-78541.849315068481</c:v>
                </c:pt>
                <c:pt idx="5">
                  <c:v>-28099.43835616437</c:v>
                </c:pt>
                <c:pt idx="7">
                  <c:v>50174.054794520554</c:v>
                </c:pt>
              </c:numCache>
            </c:numRef>
          </c:val>
          <c:smooth val="0"/>
          <c:extLst>
            <c:ext xmlns:c16="http://schemas.microsoft.com/office/drawing/2014/chart" uri="{C3380CC4-5D6E-409C-BE32-E72D297353CC}">
              <c16:uniqueId val="{00000001-495F-4B96-9BEF-0633ECD3F79B}"/>
            </c:ext>
          </c:extLst>
        </c:ser>
        <c:dLbls>
          <c:showLegendKey val="0"/>
          <c:showVal val="0"/>
          <c:showCatName val="0"/>
          <c:showSerName val="0"/>
          <c:showPercent val="0"/>
          <c:showBubbleSize val="0"/>
        </c:dLbls>
        <c:marker val="1"/>
        <c:smooth val="0"/>
        <c:axId val="624792904"/>
        <c:axId val="624795256"/>
      </c:lineChart>
      <c:dateAx>
        <c:axId val="624792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5256"/>
        <c:crosses val="autoZero"/>
        <c:auto val="0"/>
        <c:lblOffset val="50"/>
        <c:baseTimeUnit val="months"/>
        <c:majorUnit val="6"/>
        <c:majorTimeUnit val="months"/>
      </c:dateAx>
      <c:valAx>
        <c:axId val="62479525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2904"/>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USD!$H$876:$H$888</c:f>
              <c:numCache>
                <c:formatCode>dd/mm/yyyy;@</c:formatCode>
                <c:ptCount val="13"/>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numCache>
            </c:numRef>
          </c:cat>
          <c:val>
            <c:numRef>
              <c:f>USD!$M$876:$M$888</c:f>
              <c:numCache>
                <c:formatCode>#,##0.00</c:formatCode>
                <c:ptCount val="13"/>
                <c:pt idx="0">
                  <c:v>-1050000</c:v>
                </c:pt>
                <c:pt idx="1">
                  <c:v>18324.657534246577</c:v>
                </c:pt>
                <c:pt idx="2">
                  <c:v>18526.027397260277</c:v>
                </c:pt>
                <c:pt idx="3">
                  <c:v>18526.027397260277</c:v>
                </c:pt>
                <c:pt idx="4">
                  <c:v>18123.28767123288</c:v>
                </c:pt>
                <c:pt idx="5">
                  <c:v>18324.657534246577</c:v>
                </c:pt>
                <c:pt idx="6">
                  <c:v>18526.027397260277</c:v>
                </c:pt>
                <c:pt idx="7">
                  <c:v>18928.767123287671</c:v>
                </c:pt>
                <c:pt idx="8">
                  <c:v>543324.65753424657</c:v>
                </c:pt>
                <c:pt idx="9">
                  <c:v>9162.3287671232883</c:v>
                </c:pt>
                <c:pt idx="10">
                  <c:v>9162.3287671232883</c:v>
                </c:pt>
                <c:pt idx="11">
                  <c:v>9162.3287671232883</c:v>
                </c:pt>
                <c:pt idx="12">
                  <c:v>534162.32876712328</c:v>
                </c:pt>
              </c:numCache>
            </c:numRef>
          </c:val>
          <c:extLst>
            <c:ext xmlns:c16="http://schemas.microsoft.com/office/drawing/2014/chart" uri="{C3380CC4-5D6E-409C-BE32-E72D297353CC}">
              <c16:uniqueId val="{00000000-2E53-4AE3-960E-CC930C47DFD1}"/>
            </c:ext>
          </c:extLst>
        </c:ser>
        <c:dLbls>
          <c:showLegendKey val="0"/>
          <c:showVal val="0"/>
          <c:showCatName val="0"/>
          <c:showSerName val="0"/>
          <c:showPercent val="0"/>
          <c:showBubbleSize val="0"/>
        </c:dLbls>
        <c:gapWidth val="0"/>
        <c:axId val="624798000"/>
        <c:axId val="624792120"/>
      </c:barChart>
      <c:lineChart>
        <c:grouping val="standard"/>
        <c:varyColors val="0"/>
        <c:ser>
          <c:idx val="1"/>
          <c:order val="1"/>
          <c:tx>
            <c:v>Acumulado</c:v>
          </c:tx>
          <c:spPr>
            <a:ln w="28575" cap="rnd">
              <a:solidFill>
                <a:schemeClr val="accent2"/>
              </a:solidFill>
              <a:round/>
            </a:ln>
            <a:effectLst/>
          </c:spPr>
          <c:marker>
            <c:symbol val="none"/>
          </c:marker>
          <c:val>
            <c:numRef>
              <c:f>USD!$O$762:$O$774</c:f>
              <c:numCache>
                <c:formatCode>#,##0.00</c:formatCode>
                <c:ptCount val="13"/>
                <c:pt idx="0">
                  <c:v>-1050000</c:v>
                </c:pt>
                <c:pt idx="1">
                  <c:v>-1031675.3424657534</c:v>
                </c:pt>
                <c:pt idx="2">
                  <c:v>-1013149.3150684931</c:v>
                </c:pt>
                <c:pt idx="3">
                  <c:v>-994623.28767123283</c:v>
                </c:pt>
                <c:pt idx="4">
                  <c:v>-976500</c:v>
                </c:pt>
                <c:pt idx="5">
                  <c:v>-958175.34246575343</c:v>
                </c:pt>
                <c:pt idx="6">
                  <c:v>-939649.31506849313</c:v>
                </c:pt>
                <c:pt idx="7">
                  <c:v>-920720.54794520547</c:v>
                </c:pt>
                <c:pt idx="8">
                  <c:v>-377395.89041095891</c:v>
                </c:pt>
                <c:pt idx="9">
                  <c:v>-368233.56164383562</c:v>
                </c:pt>
                <c:pt idx="10">
                  <c:v>-359071.23287671234</c:v>
                </c:pt>
                <c:pt idx="11">
                  <c:v>-349908.90410958906</c:v>
                </c:pt>
                <c:pt idx="12">
                  <c:v>184253.42465753423</c:v>
                </c:pt>
              </c:numCache>
            </c:numRef>
          </c:val>
          <c:smooth val="0"/>
          <c:extLst>
            <c:ext xmlns:c16="http://schemas.microsoft.com/office/drawing/2014/chart" uri="{C3380CC4-5D6E-409C-BE32-E72D297353CC}">
              <c16:uniqueId val="{00000001-2E53-4AE3-960E-CC930C47DFD1}"/>
            </c:ext>
          </c:extLst>
        </c:ser>
        <c:dLbls>
          <c:showLegendKey val="0"/>
          <c:showVal val="0"/>
          <c:showCatName val="0"/>
          <c:showSerName val="0"/>
          <c:showPercent val="0"/>
          <c:showBubbleSize val="0"/>
        </c:dLbls>
        <c:marker val="1"/>
        <c:smooth val="0"/>
        <c:axId val="624798000"/>
        <c:axId val="624792120"/>
      </c:lineChart>
      <c:dateAx>
        <c:axId val="6247980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120"/>
        <c:crosses val="autoZero"/>
        <c:auto val="0"/>
        <c:lblOffset val="50"/>
        <c:baseTimeUnit val="months"/>
        <c:majorUnit val="6"/>
        <c:majorTimeUnit val="months"/>
      </c:dateAx>
      <c:valAx>
        <c:axId val="624792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80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USD!$H$919:$H$935</c:f>
              <c:numCache>
                <c:formatCode>dd/mm/yyyy;@</c:formatCode>
                <c:ptCount val="17"/>
                <c:pt idx="0">
                  <c:v>43208</c:v>
                </c:pt>
                <c:pt idx="1">
                  <c:v>43299</c:v>
                </c:pt>
                <c:pt idx="2">
                  <c:v>43391</c:v>
                </c:pt>
                <c:pt idx="3">
                  <c:v>43483</c:v>
                </c:pt>
                <c:pt idx="4">
                  <c:v>43573</c:v>
                </c:pt>
                <c:pt idx="5">
                  <c:v>43664</c:v>
                </c:pt>
                <c:pt idx="6">
                  <c:v>43756</c:v>
                </c:pt>
                <c:pt idx="7">
                  <c:v>43850</c:v>
                </c:pt>
                <c:pt idx="8">
                  <c:v>43941</c:v>
                </c:pt>
                <c:pt idx="9">
                  <c:v>44032</c:v>
                </c:pt>
                <c:pt idx="10">
                  <c:v>44123</c:v>
                </c:pt>
                <c:pt idx="11">
                  <c:v>44214</c:v>
                </c:pt>
                <c:pt idx="12">
                  <c:v>44305</c:v>
                </c:pt>
                <c:pt idx="13">
                  <c:v>44396</c:v>
                </c:pt>
                <c:pt idx="14">
                  <c:v>44487</c:v>
                </c:pt>
                <c:pt idx="15">
                  <c:v>44579</c:v>
                </c:pt>
                <c:pt idx="16">
                  <c:v>44669</c:v>
                </c:pt>
              </c:numCache>
            </c:numRef>
          </c:cat>
          <c:val>
            <c:numRef>
              <c:f>USD!$M$919:$M$935</c:f>
              <c:numCache>
                <c:formatCode>#,##0.00</c:formatCode>
                <c:ptCount val="17"/>
                <c:pt idx="0">
                  <c:v>-450000</c:v>
                </c:pt>
                <c:pt idx="1">
                  <c:v>8414.3835616438355</c:v>
                </c:pt>
                <c:pt idx="2">
                  <c:v>8506.8493150684935</c:v>
                </c:pt>
                <c:pt idx="3">
                  <c:v>8506.8493150684935</c:v>
                </c:pt>
                <c:pt idx="4">
                  <c:v>8321.9178082191775</c:v>
                </c:pt>
                <c:pt idx="5">
                  <c:v>8414.3835616438355</c:v>
                </c:pt>
                <c:pt idx="6">
                  <c:v>8506.8493150684935</c:v>
                </c:pt>
                <c:pt idx="7">
                  <c:v>8691.7808219178078</c:v>
                </c:pt>
                <c:pt idx="8">
                  <c:v>8414.3835616438355</c:v>
                </c:pt>
                <c:pt idx="9">
                  <c:v>8414.3835616438355</c:v>
                </c:pt>
                <c:pt idx="10">
                  <c:v>8414.3835616438355</c:v>
                </c:pt>
                <c:pt idx="11">
                  <c:v>8414.3835616438355</c:v>
                </c:pt>
                <c:pt idx="12">
                  <c:v>8414.3835616438355</c:v>
                </c:pt>
                <c:pt idx="13">
                  <c:v>8414.3835616438355</c:v>
                </c:pt>
                <c:pt idx="14">
                  <c:v>8414.3835616438355</c:v>
                </c:pt>
                <c:pt idx="15">
                  <c:v>8506.8493150684935</c:v>
                </c:pt>
                <c:pt idx="16">
                  <c:v>458321.91780821915</c:v>
                </c:pt>
              </c:numCache>
            </c:numRef>
          </c:val>
          <c:extLst>
            <c:ext xmlns:c16="http://schemas.microsoft.com/office/drawing/2014/chart" uri="{C3380CC4-5D6E-409C-BE32-E72D297353CC}">
              <c16:uniqueId val="{00000000-E89C-442C-BA1E-144078B9D77C}"/>
            </c:ext>
          </c:extLst>
        </c:ser>
        <c:dLbls>
          <c:showLegendKey val="0"/>
          <c:showVal val="0"/>
          <c:showCatName val="0"/>
          <c:showSerName val="0"/>
          <c:showPercent val="0"/>
          <c:showBubbleSize val="0"/>
        </c:dLbls>
        <c:gapWidth val="0"/>
        <c:axId val="624797216"/>
        <c:axId val="624794472"/>
      </c:barChart>
      <c:lineChart>
        <c:grouping val="standard"/>
        <c:varyColors val="0"/>
        <c:ser>
          <c:idx val="1"/>
          <c:order val="1"/>
          <c:tx>
            <c:v>Acumulado</c:v>
          </c:tx>
          <c:spPr>
            <a:ln w="28575" cap="rnd">
              <a:solidFill>
                <a:schemeClr val="accent2"/>
              </a:solidFill>
              <a:round/>
            </a:ln>
            <a:effectLst/>
          </c:spPr>
          <c:marker>
            <c:symbol val="none"/>
          </c:marker>
          <c:val>
            <c:numRef>
              <c:f>USD!$O$805:$O$821</c:f>
              <c:numCache>
                <c:formatCode>#,##0.00</c:formatCode>
                <c:ptCount val="17"/>
                <c:pt idx="0">
                  <c:v>-450000</c:v>
                </c:pt>
                <c:pt idx="1">
                  <c:v>-441585.61643835617</c:v>
                </c:pt>
                <c:pt idx="2">
                  <c:v>-433078.76712328766</c:v>
                </c:pt>
                <c:pt idx="3">
                  <c:v>-424571.91780821915</c:v>
                </c:pt>
                <c:pt idx="4">
                  <c:v>-416250</c:v>
                </c:pt>
                <c:pt idx="5">
                  <c:v>-407835.61643835617</c:v>
                </c:pt>
                <c:pt idx="6">
                  <c:v>-399328.76712328766</c:v>
                </c:pt>
                <c:pt idx="7">
                  <c:v>-390636.98630136985</c:v>
                </c:pt>
                <c:pt idx="8">
                  <c:v>-382222.60273972602</c:v>
                </c:pt>
                <c:pt idx="9">
                  <c:v>-373808.21917808219</c:v>
                </c:pt>
                <c:pt idx="10">
                  <c:v>-365393.83561643836</c:v>
                </c:pt>
                <c:pt idx="11">
                  <c:v>-356979.45205479453</c:v>
                </c:pt>
                <c:pt idx="12">
                  <c:v>-348565.0684931507</c:v>
                </c:pt>
                <c:pt idx="13">
                  <c:v>-340150.68493150687</c:v>
                </c:pt>
                <c:pt idx="14">
                  <c:v>-331736.30136986304</c:v>
                </c:pt>
                <c:pt idx="15">
                  <c:v>-323229.45205479453</c:v>
                </c:pt>
                <c:pt idx="16">
                  <c:v>135092.46575342462</c:v>
                </c:pt>
              </c:numCache>
            </c:numRef>
          </c:val>
          <c:smooth val="0"/>
          <c:extLst>
            <c:ext xmlns:c16="http://schemas.microsoft.com/office/drawing/2014/chart" uri="{C3380CC4-5D6E-409C-BE32-E72D297353CC}">
              <c16:uniqueId val="{00000001-E89C-442C-BA1E-144078B9D77C}"/>
            </c:ext>
          </c:extLst>
        </c:ser>
        <c:dLbls>
          <c:showLegendKey val="0"/>
          <c:showVal val="0"/>
          <c:showCatName val="0"/>
          <c:showSerName val="0"/>
          <c:showPercent val="0"/>
          <c:showBubbleSize val="0"/>
        </c:dLbls>
        <c:marker val="1"/>
        <c:smooth val="0"/>
        <c:axId val="624797216"/>
        <c:axId val="624794472"/>
      </c:lineChart>
      <c:dateAx>
        <c:axId val="6247972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4472"/>
        <c:crosses val="autoZero"/>
        <c:auto val="0"/>
        <c:lblOffset val="50"/>
        <c:baseTimeUnit val="months"/>
        <c:majorUnit val="6"/>
        <c:majorTimeUnit val="months"/>
      </c:dateAx>
      <c:valAx>
        <c:axId val="624794472"/>
        <c:scaling>
          <c:orientation val="minMax"/>
          <c:max val="500000"/>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216"/>
        <c:crosses val="autoZero"/>
        <c:crossBetween val="between"/>
        <c:majorUnit val="1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USD!$H$1012:$H$1024</c:f>
              <c:numCache>
                <c:formatCode>dd/mm/yyyy;@</c:formatCode>
                <c:ptCount val="13"/>
                <c:pt idx="0">
                  <c:v>43349</c:v>
                </c:pt>
                <c:pt idx="1">
                  <c:v>43440</c:v>
                </c:pt>
                <c:pt idx="2">
                  <c:v>43530</c:v>
                </c:pt>
                <c:pt idx="3">
                  <c:v>43622</c:v>
                </c:pt>
                <c:pt idx="4">
                  <c:v>43714</c:v>
                </c:pt>
                <c:pt idx="5">
                  <c:v>43805</c:v>
                </c:pt>
                <c:pt idx="6">
                  <c:v>43896</c:v>
                </c:pt>
                <c:pt idx="7">
                  <c:v>43990</c:v>
                </c:pt>
                <c:pt idx="8">
                  <c:v>44081</c:v>
                </c:pt>
                <c:pt idx="9">
                  <c:v>44172</c:v>
                </c:pt>
                <c:pt idx="10">
                  <c:v>44263</c:v>
                </c:pt>
                <c:pt idx="11">
                  <c:v>44354</c:v>
                </c:pt>
                <c:pt idx="12">
                  <c:v>44445</c:v>
                </c:pt>
              </c:numCache>
            </c:numRef>
          </c:cat>
          <c:val>
            <c:numRef>
              <c:f>USD!$M$1012:$M$1024</c:f>
              <c:numCache>
                <c:formatCode>#,##0.00</c:formatCode>
                <c:ptCount val="13"/>
                <c:pt idx="0">
                  <c:v>-1168335</c:v>
                </c:pt>
                <c:pt idx="1">
                  <c:v>138101.99837671232</c:v>
                </c:pt>
                <c:pt idx="2">
                  <c:v>134294.25057041098</c:v>
                </c:pt>
                <c:pt idx="3">
                  <c:v>131681.57182964386</c:v>
                </c:pt>
                <c:pt idx="4">
                  <c:v>128247.29430953425</c:v>
                </c:pt>
                <c:pt idx="5">
                  <c:v>124514.20471019179</c:v>
                </c:pt>
                <c:pt idx="6">
                  <c:v>121117.25629356164</c:v>
                </c:pt>
                <c:pt idx="7">
                  <c:v>118392.76949375343</c:v>
                </c:pt>
                <c:pt idx="8">
                  <c:v>114323.35946030138</c:v>
                </c:pt>
                <c:pt idx="9">
                  <c:v>110926.41104367124</c:v>
                </c:pt>
                <c:pt idx="10">
                  <c:v>107529.4626270411</c:v>
                </c:pt>
                <c:pt idx="11">
                  <c:v>104132.51421041095</c:v>
                </c:pt>
                <c:pt idx="12">
                  <c:v>101202.8997937808</c:v>
                </c:pt>
              </c:numCache>
            </c:numRef>
          </c:val>
          <c:extLst>
            <c:ext xmlns:c16="http://schemas.microsoft.com/office/drawing/2014/chart" uri="{C3380CC4-5D6E-409C-BE32-E72D297353CC}">
              <c16:uniqueId val="{00000000-3E34-47AA-B191-E71330BBFC84}"/>
            </c:ext>
          </c:extLst>
        </c:ser>
        <c:dLbls>
          <c:showLegendKey val="0"/>
          <c:showVal val="0"/>
          <c:showCatName val="0"/>
          <c:showSerName val="0"/>
          <c:showPercent val="0"/>
          <c:showBubbleSize val="0"/>
        </c:dLbls>
        <c:gapWidth val="0"/>
        <c:axId val="624793296"/>
        <c:axId val="624792512"/>
      </c:barChart>
      <c:lineChart>
        <c:grouping val="standard"/>
        <c:varyColors val="0"/>
        <c:ser>
          <c:idx val="1"/>
          <c:order val="1"/>
          <c:tx>
            <c:v>Acumulado</c:v>
          </c:tx>
          <c:spPr>
            <a:ln w="28575" cap="rnd">
              <a:solidFill>
                <a:schemeClr val="accent2"/>
              </a:solidFill>
              <a:round/>
            </a:ln>
            <a:effectLst/>
          </c:spPr>
          <c:marker>
            <c:symbol val="none"/>
          </c:marker>
          <c:val>
            <c:numRef>
              <c:f>USD!$O$898:$O$910</c:f>
              <c:numCache>
                <c:formatCode>#,##0.00</c:formatCode>
                <c:ptCount val="13"/>
                <c:pt idx="0">
                  <c:v>-1168335</c:v>
                </c:pt>
                <c:pt idx="1">
                  <c:v>-1030233.0016232877</c:v>
                </c:pt>
                <c:pt idx="2">
                  <c:v>-895938.7510528767</c:v>
                </c:pt>
                <c:pt idx="3">
                  <c:v>-764257.1792232329</c:v>
                </c:pt>
                <c:pt idx="4">
                  <c:v>-636009.88491369865</c:v>
                </c:pt>
                <c:pt idx="5">
                  <c:v>-511495.68020350684</c:v>
                </c:pt>
                <c:pt idx="6">
                  <c:v>-390378.42390994518</c:v>
                </c:pt>
                <c:pt idx="7">
                  <c:v>-271985.65441619174</c:v>
                </c:pt>
                <c:pt idx="8">
                  <c:v>-157662.29495589036</c:v>
                </c:pt>
                <c:pt idx="9">
                  <c:v>-46735.883912219128</c:v>
                </c:pt>
                <c:pt idx="10">
                  <c:v>60793.578714821968</c:v>
                </c:pt>
                <c:pt idx="11">
                  <c:v>164926.09292523292</c:v>
                </c:pt>
                <c:pt idx="12">
                  <c:v>266128.99271901371</c:v>
                </c:pt>
              </c:numCache>
            </c:numRef>
          </c:val>
          <c:smooth val="0"/>
          <c:extLst>
            <c:ext xmlns:c16="http://schemas.microsoft.com/office/drawing/2014/chart" uri="{C3380CC4-5D6E-409C-BE32-E72D297353CC}">
              <c16:uniqueId val="{00000001-3E34-47AA-B191-E71330BBFC84}"/>
            </c:ext>
          </c:extLst>
        </c:ser>
        <c:dLbls>
          <c:showLegendKey val="0"/>
          <c:showVal val="0"/>
          <c:showCatName val="0"/>
          <c:showSerName val="0"/>
          <c:showPercent val="0"/>
          <c:showBubbleSize val="0"/>
        </c:dLbls>
        <c:marker val="1"/>
        <c:smooth val="0"/>
        <c:axId val="624793296"/>
        <c:axId val="624792512"/>
      </c:lineChart>
      <c:dateAx>
        <c:axId val="624793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2512"/>
        <c:crosses val="autoZero"/>
        <c:auto val="0"/>
        <c:lblOffset val="50"/>
        <c:baseTimeUnit val="months"/>
        <c:majorUnit val="6"/>
        <c:majorTimeUnit val="months"/>
      </c:dateAx>
      <c:valAx>
        <c:axId val="62479251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329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USD!$H$1057:$H$1063</c:f>
              <c:numCache>
                <c:formatCode>dd/mm/yyyy;@</c:formatCode>
                <c:ptCount val="7"/>
                <c:pt idx="0">
                  <c:v>43216</c:v>
                </c:pt>
                <c:pt idx="1">
                  <c:v>43399</c:v>
                </c:pt>
                <c:pt idx="2">
                  <c:v>43581</c:v>
                </c:pt>
                <c:pt idx="3">
                  <c:v>43766</c:v>
                </c:pt>
                <c:pt idx="4">
                  <c:v>43948</c:v>
                </c:pt>
                <c:pt idx="5">
                  <c:v>44130</c:v>
                </c:pt>
                <c:pt idx="6">
                  <c:v>44312</c:v>
                </c:pt>
              </c:numCache>
            </c:numRef>
          </c:cat>
          <c:val>
            <c:numRef>
              <c:f>USD!$M$1057:$M$1063</c:f>
              <c:numCache>
                <c:formatCode>#,##0.00</c:formatCode>
                <c:ptCount val="7"/>
                <c:pt idx="0">
                  <c:v>-200000</c:v>
                </c:pt>
                <c:pt idx="1">
                  <c:v>40339.178082191778</c:v>
                </c:pt>
                <c:pt idx="2">
                  <c:v>39137.816986301368</c:v>
                </c:pt>
                <c:pt idx="3">
                  <c:v>38051.539726027397</c:v>
                </c:pt>
                <c:pt idx="4">
                  <c:v>36811.807123287668</c:v>
                </c:pt>
                <c:pt idx="5">
                  <c:v>35648.802191780822</c:v>
                </c:pt>
                <c:pt idx="6">
                  <c:v>34565.797260273976</c:v>
                </c:pt>
              </c:numCache>
            </c:numRef>
          </c:val>
          <c:extLst>
            <c:ext xmlns:c16="http://schemas.microsoft.com/office/drawing/2014/chart" uri="{C3380CC4-5D6E-409C-BE32-E72D297353CC}">
              <c16:uniqueId val="{00000000-7DEF-424B-9D8C-A8FEF63C2681}"/>
            </c:ext>
          </c:extLst>
        </c:ser>
        <c:dLbls>
          <c:showLegendKey val="0"/>
          <c:showVal val="0"/>
          <c:showCatName val="0"/>
          <c:showSerName val="0"/>
          <c:showPercent val="0"/>
          <c:showBubbleSize val="0"/>
        </c:dLbls>
        <c:gapWidth val="0"/>
        <c:axId val="624796432"/>
        <c:axId val="624796824"/>
      </c:barChart>
      <c:lineChart>
        <c:grouping val="standard"/>
        <c:varyColors val="0"/>
        <c:ser>
          <c:idx val="1"/>
          <c:order val="1"/>
          <c:tx>
            <c:v>Acumulado</c:v>
          </c:tx>
          <c:spPr>
            <a:ln w="28575" cap="rnd">
              <a:solidFill>
                <a:schemeClr val="accent2"/>
              </a:solidFill>
              <a:round/>
            </a:ln>
            <a:effectLst/>
          </c:spPr>
          <c:marker>
            <c:symbol val="none"/>
          </c:marker>
          <c:val>
            <c:numRef>
              <c:f>USD!$O$943:$O$949</c:f>
              <c:numCache>
                <c:formatCode>#,##0.00</c:formatCode>
                <c:ptCount val="7"/>
                <c:pt idx="0">
                  <c:v>-200000</c:v>
                </c:pt>
                <c:pt idx="1">
                  <c:v>-159660.82191780821</c:v>
                </c:pt>
                <c:pt idx="2">
                  <c:v>-120523.00493150685</c:v>
                </c:pt>
                <c:pt idx="3">
                  <c:v>-82471.465205479442</c:v>
                </c:pt>
                <c:pt idx="4">
                  <c:v>-45659.658082191774</c:v>
                </c:pt>
                <c:pt idx="5">
                  <c:v>-10010.855890410952</c:v>
                </c:pt>
                <c:pt idx="6">
                  <c:v>24554.941369863023</c:v>
                </c:pt>
              </c:numCache>
            </c:numRef>
          </c:val>
          <c:smooth val="0"/>
          <c:extLst>
            <c:ext xmlns:c16="http://schemas.microsoft.com/office/drawing/2014/chart" uri="{C3380CC4-5D6E-409C-BE32-E72D297353CC}">
              <c16:uniqueId val="{00000001-7DEF-424B-9D8C-A8FEF63C2681}"/>
            </c:ext>
          </c:extLst>
        </c:ser>
        <c:dLbls>
          <c:showLegendKey val="0"/>
          <c:showVal val="0"/>
          <c:showCatName val="0"/>
          <c:showSerName val="0"/>
          <c:showPercent val="0"/>
          <c:showBubbleSize val="0"/>
        </c:dLbls>
        <c:marker val="1"/>
        <c:smooth val="0"/>
        <c:axId val="624796432"/>
        <c:axId val="624796824"/>
      </c:lineChart>
      <c:dateAx>
        <c:axId val="624796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96824"/>
        <c:crosses val="autoZero"/>
        <c:auto val="0"/>
        <c:lblOffset val="50"/>
        <c:baseTimeUnit val="months"/>
        <c:majorUnit val="6"/>
        <c:majorTimeUnit val="months"/>
      </c:dateAx>
      <c:valAx>
        <c:axId val="624796824"/>
        <c:scaling>
          <c:orientation val="minMax"/>
          <c:max val="50000"/>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643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ARS!$H$88:$H$92</c:f>
              <c:numCache>
                <c:formatCode>dd/mm/yyyy;@</c:formatCode>
                <c:ptCount val="5"/>
                <c:pt idx="0">
                  <c:v>43468</c:v>
                </c:pt>
                <c:pt idx="1">
                  <c:v>43649</c:v>
                </c:pt>
                <c:pt idx="2">
                  <c:v>43833</c:v>
                </c:pt>
                <c:pt idx="3">
                  <c:v>44015</c:v>
                </c:pt>
                <c:pt idx="4">
                  <c:v>44200</c:v>
                </c:pt>
              </c:numCache>
            </c:numRef>
          </c:cat>
          <c:val>
            <c:numRef>
              <c:f>ARS!$M$88:$M$92</c:f>
              <c:numCache>
                <c:formatCode>#,##0.00</c:formatCode>
                <c:ptCount val="5"/>
                <c:pt idx="0">
                  <c:v>-7200000</c:v>
                </c:pt>
                <c:pt idx="1">
                  <c:v>3570143.75</c:v>
                </c:pt>
                <c:pt idx="2">
                  <c:v>3066560</c:v>
                </c:pt>
                <c:pt idx="3">
                  <c:v>2428260</c:v>
                </c:pt>
                <c:pt idx="4">
                  <c:v>3500212.5</c:v>
                </c:pt>
              </c:numCache>
            </c:numRef>
          </c:val>
          <c:extLst>
            <c:ext xmlns:c16="http://schemas.microsoft.com/office/drawing/2014/chart" uri="{C3380CC4-5D6E-409C-BE32-E72D297353CC}">
              <c16:uniqueId val="{00000000-DB22-4B38-BDC5-F71301AB4B06}"/>
            </c:ext>
          </c:extLst>
        </c:ser>
        <c:dLbls>
          <c:showLegendKey val="0"/>
          <c:showVal val="0"/>
          <c:showCatName val="0"/>
          <c:showSerName val="0"/>
          <c:showPercent val="0"/>
          <c:showBubbleSize val="0"/>
        </c:dLbls>
        <c:gapWidth val="0"/>
        <c:axId val="600733912"/>
        <c:axId val="600734696"/>
      </c:barChart>
      <c:lineChart>
        <c:grouping val="standard"/>
        <c:varyColors val="0"/>
        <c:ser>
          <c:idx val="1"/>
          <c:order val="1"/>
          <c:tx>
            <c:v>Acumulado</c:v>
          </c:tx>
          <c:spPr>
            <a:ln w="28575" cap="rnd">
              <a:solidFill>
                <a:schemeClr val="accent2"/>
              </a:solidFill>
              <a:round/>
            </a:ln>
            <a:effectLst/>
          </c:spPr>
          <c:marker>
            <c:symbol val="none"/>
          </c:marker>
          <c:val>
            <c:numRef>
              <c:f>ARS!$O$88:$O$92</c:f>
              <c:numCache>
                <c:formatCode>#,##0.00</c:formatCode>
                <c:ptCount val="5"/>
                <c:pt idx="0">
                  <c:v>-7200000</c:v>
                </c:pt>
                <c:pt idx="1">
                  <c:v>-3629856.25</c:v>
                </c:pt>
                <c:pt idx="2">
                  <c:v>-563296.25</c:v>
                </c:pt>
                <c:pt idx="3">
                  <c:v>1864963.75</c:v>
                </c:pt>
                <c:pt idx="4">
                  <c:v>5365176.25</c:v>
                </c:pt>
              </c:numCache>
            </c:numRef>
          </c:val>
          <c:smooth val="0"/>
          <c:extLst>
            <c:ext xmlns:c16="http://schemas.microsoft.com/office/drawing/2014/chart" uri="{C3380CC4-5D6E-409C-BE32-E72D297353CC}">
              <c16:uniqueId val="{00000001-DB22-4B38-BDC5-F71301AB4B06}"/>
            </c:ext>
          </c:extLst>
        </c:ser>
        <c:dLbls>
          <c:showLegendKey val="0"/>
          <c:showVal val="0"/>
          <c:showCatName val="0"/>
          <c:showSerName val="0"/>
          <c:showPercent val="0"/>
          <c:showBubbleSize val="0"/>
        </c:dLbls>
        <c:marker val="1"/>
        <c:smooth val="0"/>
        <c:axId val="600733912"/>
        <c:axId val="600734696"/>
      </c:lineChart>
      <c:dateAx>
        <c:axId val="600733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34696"/>
        <c:crosses val="autoZero"/>
        <c:auto val="0"/>
        <c:lblOffset val="50"/>
        <c:baseTimeUnit val="months"/>
        <c:majorUnit val="6"/>
        <c:majorTimeUnit val="months"/>
      </c:dateAx>
      <c:valAx>
        <c:axId val="6007346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3912"/>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USD!$H$1094:$H$1106</c:f>
              <c:numCache>
                <c:formatCode>dd/mm/yyyy;@</c:formatCode>
                <c:ptCount val="13"/>
                <c:pt idx="0">
                  <c:v>43552</c:v>
                </c:pt>
                <c:pt idx="1">
                  <c:v>43644</c:v>
                </c:pt>
                <c:pt idx="2">
                  <c:v>43738</c:v>
                </c:pt>
                <c:pt idx="3">
                  <c:v>43829</c:v>
                </c:pt>
                <c:pt idx="4">
                  <c:v>43920</c:v>
                </c:pt>
                <c:pt idx="5">
                  <c:v>44011</c:v>
                </c:pt>
                <c:pt idx="6">
                  <c:v>44102</c:v>
                </c:pt>
                <c:pt idx="7">
                  <c:v>44193</c:v>
                </c:pt>
                <c:pt idx="8">
                  <c:v>44284</c:v>
                </c:pt>
                <c:pt idx="9">
                  <c:v>44375</c:v>
                </c:pt>
                <c:pt idx="10">
                  <c:v>44467</c:v>
                </c:pt>
                <c:pt idx="11">
                  <c:v>44558</c:v>
                </c:pt>
                <c:pt idx="12">
                  <c:v>44648</c:v>
                </c:pt>
              </c:numCache>
            </c:numRef>
          </c:cat>
          <c:val>
            <c:numRef>
              <c:f>USD!$M$1094:$M$1106</c:f>
              <c:numCache>
                <c:formatCode>#,##0.00</c:formatCode>
                <c:ptCount val="13"/>
                <c:pt idx="0">
                  <c:v>-500000</c:v>
                </c:pt>
                <c:pt idx="1">
                  <c:v>13863.013698630139</c:v>
                </c:pt>
                <c:pt idx="2">
                  <c:v>14164.383561643837</c:v>
                </c:pt>
                <c:pt idx="3">
                  <c:v>63712.32876712329</c:v>
                </c:pt>
                <c:pt idx="4">
                  <c:v>62341.095890410958</c:v>
                </c:pt>
                <c:pt idx="5">
                  <c:v>60969.863013698632</c:v>
                </c:pt>
                <c:pt idx="6">
                  <c:v>59598.630136986299</c:v>
                </c:pt>
                <c:pt idx="7">
                  <c:v>58227.397260273974</c:v>
                </c:pt>
                <c:pt idx="8">
                  <c:v>56856.164383561641</c:v>
                </c:pt>
                <c:pt idx="9">
                  <c:v>55484.931506849316</c:v>
                </c:pt>
                <c:pt idx="10">
                  <c:v>54158.904109589042</c:v>
                </c:pt>
                <c:pt idx="11">
                  <c:v>52742.465753424658</c:v>
                </c:pt>
                <c:pt idx="12">
                  <c:v>51356.164383561641</c:v>
                </c:pt>
              </c:numCache>
            </c:numRef>
          </c:val>
          <c:extLst>
            <c:ext xmlns:c16="http://schemas.microsoft.com/office/drawing/2014/chart" uri="{C3380CC4-5D6E-409C-BE32-E72D297353CC}">
              <c16:uniqueId val="{00000000-9B92-4D1E-936F-16841B6DF160}"/>
            </c:ext>
          </c:extLst>
        </c:ser>
        <c:dLbls>
          <c:showLegendKey val="0"/>
          <c:showVal val="0"/>
          <c:showCatName val="0"/>
          <c:showSerName val="0"/>
          <c:showPercent val="0"/>
          <c:showBubbleSize val="0"/>
        </c:dLbls>
        <c:gapWidth val="0"/>
        <c:axId val="624797608"/>
        <c:axId val="634086992"/>
      </c:barChart>
      <c:lineChart>
        <c:grouping val="standard"/>
        <c:varyColors val="0"/>
        <c:ser>
          <c:idx val="1"/>
          <c:order val="1"/>
          <c:tx>
            <c:v>Acumulado</c:v>
          </c:tx>
          <c:spPr>
            <a:ln w="28575" cap="rnd">
              <a:solidFill>
                <a:schemeClr val="accent2"/>
              </a:solidFill>
              <a:round/>
            </a:ln>
            <a:effectLst/>
          </c:spPr>
          <c:marker>
            <c:symbol val="none"/>
          </c:marker>
          <c:val>
            <c:numRef>
              <c:f>USD!$O$982:$O$994</c:f>
              <c:numCache>
                <c:formatCode>#,##0.00</c:formatCode>
                <c:ptCount val="13"/>
                <c:pt idx="0">
                  <c:v>-500000</c:v>
                </c:pt>
                <c:pt idx="1">
                  <c:v>-486136.98630136985</c:v>
                </c:pt>
                <c:pt idx="2">
                  <c:v>-471972.60273972602</c:v>
                </c:pt>
                <c:pt idx="3">
                  <c:v>-408260.27397260274</c:v>
                </c:pt>
                <c:pt idx="4">
                  <c:v>-345919.17808219179</c:v>
                </c:pt>
                <c:pt idx="5">
                  <c:v>-284949.31506849313</c:v>
                </c:pt>
                <c:pt idx="6">
                  <c:v>-225350.68493150684</c:v>
                </c:pt>
                <c:pt idx="7">
                  <c:v>-167123.28767123286</c:v>
                </c:pt>
                <c:pt idx="8">
                  <c:v>-110267.12328767122</c:v>
                </c:pt>
                <c:pt idx="9">
                  <c:v>-54782.1917808219</c:v>
                </c:pt>
                <c:pt idx="10">
                  <c:v>-623.28767123285797</c:v>
                </c:pt>
                <c:pt idx="11">
                  <c:v>52119.1780821918</c:v>
                </c:pt>
                <c:pt idx="12">
                  <c:v>103475.34246575343</c:v>
                </c:pt>
              </c:numCache>
            </c:numRef>
          </c:val>
          <c:smooth val="0"/>
          <c:extLst>
            <c:ext xmlns:c16="http://schemas.microsoft.com/office/drawing/2014/chart" uri="{C3380CC4-5D6E-409C-BE32-E72D297353CC}">
              <c16:uniqueId val="{00000001-9B92-4D1E-936F-16841B6DF160}"/>
            </c:ext>
          </c:extLst>
        </c:ser>
        <c:dLbls>
          <c:showLegendKey val="0"/>
          <c:showVal val="0"/>
          <c:showCatName val="0"/>
          <c:showSerName val="0"/>
          <c:showPercent val="0"/>
          <c:showBubbleSize val="0"/>
        </c:dLbls>
        <c:marker val="1"/>
        <c:smooth val="0"/>
        <c:axId val="624797608"/>
        <c:axId val="634086992"/>
      </c:lineChart>
      <c:dateAx>
        <c:axId val="6247976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992"/>
        <c:crosses val="autoZero"/>
        <c:auto val="0"/>
        <c:lblOffset val="50"/>
        <c:baseTimeUnit val="months"/>
        <c:majorUnit val="6"/>
        <c:majorTimeUnit val="months"/>
      </c:dateAx>
      <c:valAx>
        <c:axId val="6340869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760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USD!$H$1169:$H$1181</c:f>
              <c:numCache>
                <c:formatCode>dd/mm/yyyy;@</c:formatCode>
                <c:ptCount val="13"/>
                <c:pt idx="0">
                  <c:v>43194</c:v>
                </c:pt>
                <c:pt idx="1">
                  <c:v>43285</c:v>
                </c:pt>
                <c:pt idx="2">
                  <c:v>43377</c:v>
                </c:pt>
                <c:pt idx="3">
                  <c:v>43469</c:v>
                </c:pt>
                <c:pt idx="4">
                  <c:v>43559</c:v>
                </c:pt>
                <c:pt idx="5">
                  <c:v>43650</c:v>
                </c:pt>
                <c:pt idx="6">
                  <c:v>43742</c:v>
                </c:pt>
                <c:pt idx="7">
                  <c:v>43836</c:v>
                </c:pt>
                <c:pt idx="8">
                  <c:v>43927</c:v>
                </c:pt>
                <c:pt idx="9">
                  <c:v>44018</c:v>
                </c:pt>
                <c:pt idx="10">
                  <c:v>44109</c:v>
                </c:pt>
                <c:pt idx="11">
                  <c:v>44200</c:v>
                </c:pt>
                <c:pt idx="12">
                  <c:v>44291</c:v>
                </c:pt>
              </c:numCache>
            </c:numRef>
          </c:cat>
          <c:val>
            <c:numRef>
              <c:f>USD!$M$1169:$M$1181</c:f>
              <c:numCache>
                <c:formatCode>#,##0.00</c:formatCode>
                <c:ptCount val="13"/>
                <c:pt idx="0">
                  <c:v>-300000</c:v>
                </c:pt>
                <c:pt idx="1">
                  <c:v>30412.602739726026</c:v>
                </c:pt>
                <c:pt idx="2">
                  <c:v>30015.525205479451</c:v>
                </c:pt>
                <c:pt idx="3">
                  <c:v>29558.858630136987</c:v>
                </c:pt>
                <c:pt idx="4">
                  <c:v>29012.796575342465</c:v>
                </c:pt>
                <c:pt idx="5">
                  <c:v>28605.791506849317</c:v>
                </c:pt>
                <c:pt idx="6">
                  <c:v>28188.858904109587</c:v>
                </c:pt>
                <c:pt idx="7">
                  <c:v>27791.805205479453</c:v>
                </c:pt>
                <c:pt idx="8">
                  <c:v>27250.683082191779</c:v>
                </c:pt>
                <c:pt idx="9">
                  <c:v>26798.980273972604</c:v>
                </c:pt>
                <c:pt idx="10">
                  <c:v>26347.277465753425</c:v>
                </c:pt>
                <c:pt idx="11">
                  <c:v>25895.574657534245</c:v>
                </c:pt>
                <c:pt idx="12">
                  <c:v>25563.87184931507</c:v>
                </c:pt>
              </c:numCache>
            </c:numRef>
          </c:val>
          <c:extLst>
            <c:ext xmlns:c16="http://schemas.microsoft.com/office/drawing/2014/chart" uri="{C3380CC4-5D6E-409C-BE32-E72D297353CC}">
              <c16:uniqueId val="{00000000-1810-4E80-9AFF-6BB8001F2F25}"/>
            </c:ext>
          </c:extLst>
        </c:ser>
        <c:dLbls>
          <c:showLegendKey val="0"/>
          <c:showVal val="0"/>
          <c:showCatName val="0"/>
          <c:showSerName val="0"/>
          <c:showPercent val="0"/>
          <c:showBubbleSize val="0"/>
        </c:dLbls>
        <c:gapWidth val="0"/>
        <c:axId val="634079544"/>
        <c:axId val="634080720"/>
      </c:barChart>
      <c:lineChart>
        <c:grouping val="standard"/>
        <c:varyColors val="0"/>
        <c:ser>
          <c:idx val="1"/>
          <c:order val="1"/>
          <c:tx>
            <c:v>Acumulado</c:v>
          </c:tx>
          <c:spPr>
            <a:ln w="28575" cap="rnd">
              <a:solidFill>
                <a:schemeClr val="accent2"/>
              </a:solidFill>
              <a:round/>
            </a:ln>
            <a:effectLst/>
          </c:spPr>
          <c:marker>
            <c:symbol val="none"/>
          </c:marker>
          <c:val>
            <c:numRef>
              <c:f>USD!$O$1029:$O$1041</c:f>
              <c:numCache>
                <c:formatCode>#,##0.00</c:formatCode>
                <c:ptCount val="13"/>
                <c:pt idx="0">
                  <c:v>-300000</c:v>
                </c:pt>
                <c:pt idx="1">
                  <c:v>-269587.39726027398</c:v>
                </c:pt>
                <c:pt idx="2">
                  <c:v>-239571.87205479454</c:v>
                </c:pt>
                <c:pt idx="3">
                  <c:v>-210013.01342465755</c:v>
                </c:pt>
                <c:pt idx="4">
                  <c:v>-181000.2168493151</c:v>
                </c:pt>
                <c:pt idx="5">
                  <c:v>-152394.42534246578</c:v>
                </c:pt>
                <c:pt idx="6">
                  <c:v>-124205.5664383562</c:v>
                </c:pt>
                <c:pt idx="7">
                  <c:v>-96413.761232876743</c:v>
                </c:pt>
                <c:pt idx="8">
                  <c:v>-69163.07815068496</c:v>
                </c:pt>
                <c:pt idx="9">
                  <c:v>-42364.09787671236</c:v>
                </c:pt>
                <c:pt idx="10">
                  <c:v>-16016.820410958935</c:v>
                </c:pt>
                <c:pt idx="11">
                  <c:v>9878.7542465753104</c:v>
                </c:pt>
                <c:pt idx="12">
                  <c:v>35442.62609589038</c:v>
                </c:pt>
              </c:numCache>
            </c:numRef>
          </c:val>
          <c:smooth val="0"/>
          <c:extLst>
            <c:ext xmlns:c16="http://schemas.microsoft.com/office/drawing/2014/chart" uri="{C3380CC4-5D6E-409C-BE32-E72D297353CC}">
              <c16:uniqueId val="{00000001-1810-4E80-9AFF-6BB8001F2F25}"/>
            </c:ext>
          </c:extLst>
        </c:ser>
        <c:dLbls>
          <c:showLegendKey val="0"/>
          <c:showVal val="0"/>
          <c:showCatName val="0"/>
          <c:showSerName val="0"/>
          <c:showPercent val="0"/>
          <c:showBubbleSize val="0"/>
        </c:dLbls>
        <c:marker val="1"/>
        <c:smooth val="0"/>
        <c:axId val="634079544"/>
        <c:axId val="634080720"/>
      </c:lineChart>
      <c:dateAx>
        <c:axId val="634079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0720"/>
        <c:crosses val="autoZero"/>
        <c:auto val="0"/>
        <c:lblOffset val="50"/>
        <c:baseTimeUnit val="months"/>
        <c:majorUnit val="6"/>
        <c:majorTimeUnit val="months"/>
      </c:dateAx>
      <c:valAx>
        <c:axId val="634080720"/>
        <c:scaling>
          <c:orientation val="minMax"/>
          <c:max val="50000"/>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54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USD!$H$1212:$H$1218</c:f>
              <c:numCache>
                <c:formatCode>dd/mm/yyyy;@</c:formatCode>
                <c:ptCount val="7"/>
                <c:pt idx="0">
                  <c:v>43452</c:v>
                </c:pt>
                <c:pt idx="1">
                  <c:v>43634</c:v>
                </c:pt>
                <c:pt idx="2">
                  <c:v>43817</c:v>
                </c:pt>
                <c:pt idx="3">
                  <c:v>44000</c:v>
                </c:pt>
                <c:pt idx="4">
                  <c:v>44183</c:v>
                </c:pt>
                <c:pt idx="5">
                  <c:v>44365</c:v>
                </c:pt>
                <c:pt idx="6">
                  <c:v>44550</c:v>
                </c:pt>
              </c:numCache>
            </c:numRef>
          </c:cat>
          <c:val>
            <c:numRef>
              <c:f>USD!$M$1212:$M$1218</c:f>
              <c:numCache>
                <c:formatCode>#,##0.00</c:formatCode>
                <c:ptCount val="7"/>
                <c:pt idx="0">
                  <c:v>-150000</c:v>
                </c:pt>
                <c:pt idx="1">
                  <c:v>32394.698630136983</c:v>
                </c:pt>
                <c:pt idx="2">
                  <c:v>31196.670131506846</c:v>
                </c:pt>
                <c:pt idx="3">
                  <c:v>29958.038893150682</c:v>
                </c:pt>
                <c:pt idx="4">
                  <c:v>28719.407654794515</c:v>
                </c:pt>
                <c:pt idx="5">
                  <c:v>27452.247583561642</c:v>
                </c:pt>
                <c:pt idx="6">
                  <c:v>26241.41704109589</c:v>
                </c:pt>
              </c:numCache>
            </c:numRef>
          </c:val>
          <c:extLst>
            <c:ext xmlns:c16="http://schemas.microsoft.com/office/drawing/2014/chart" uri="{C3380CC4-5D6E-409C-BE32-E72D297353CC}">
              <c16:uniqueId val="{00000000-0B75-4CC8-BDC5-8BFB8685419F}"/>
            </c:ext>
          </c:extLst>
        </c:ser>
        <c:dLbls>
          <c:showLegendKey val="0"/>
          <c:showVal val="0"/>
          <c:showCatName val="0"/>
          <c:showSerName val="0"/>
          <c:showPercent val="0"/>
          <c:showBubbleSize val="0"/>
        </c:dLbls>
        <c:gapWidth val="0"/>
        <c:axId val="634081112"/>
        <c:axId val="634086208"/>
      </c:barChart>
      <c:lineChart>
        <c:grouping val="standard"/>
        <c:varyColors val="0"/>
        <c:ser>
          <c:idx val="1"/>
          <c:order val="1"/>
          <c:tx>
            <c:v>Acumulado</c:v>
          </c:tx>
          <c:spPr>
            <a:ln w="28575" cap="rnd">
              <a:solidFill>
                <a:schemeClr val="accent2"/>
              </a:solidFill>
              <a:round/>
            </a:ln>
            <a:effectLst/>
          </c:spPr>
          <c:marker>
            <c:symbol val="none"/>
          </c:marker>
          <c:val>
            <c:numRef>
              <c:f>USD!$O$1068:$O$1074</c:f>
              <c:numCache>
                <c:formatCode>#,##0.00</c:formatCode>
                <c:ptCount val="7"/>
                <c:pt idx="0">
                  <c:v>-150000</c:v>
                </c:pt>
                <c:pt idx="1">
                  <c:v>-117605.30136986301</c:v>
                </c:pt>
                <c:pt idx="2">
                  <c:v>-86408.63123835616</c:v>
                </c:pt>
                <c:pt idx="3">
                  <c:v>-56450.592345205478</c:v>
                </c:pt>
                <c:pt idx="4">
                  <c:v>-27731.184690410963</c:v>
                </c:pt>
                <c:pt idx="5">
                  <c:v>-278.93710684932012</c:v>
                </c:pt>
                <c:pt idx="6">
                  <c:v>25962.47993424657</c:v>
                </c:pt>
              </c:numCache>
            </c:numRef>
          </c:val>
          <c:smooth val="0"/>
          <c:extLst>
            <c:ext xmlns:c16="http://schemas.microsoft.com/office/drawing/2014/chart" uri="{C3380CC4-5D6E-409C-BE32-E72D297353CC}">
              <c16:uniqueId val="{00000001-0B75-4CC8-BDC5-8BFB8685419F}"/>
            </c:ext>
          </c:extLst>
        </c:ser>
        <c:dLbls>
          <c:showLegendKey val="0"/>
          <c:showVal val="0"/>
          <c:showCatName val="0"/>
          <c:showSerName val="0"/>
          <c:showPercent val="0"/>
          <c:showBubbleSize val="0"/>
        </c:dLbls>
        <c:marker val="1"/>
        <c:smooth val="0"/>
        <c:axId val="634081112"/>
        <c:axId val="634086208"/>
      </c:lineChart>
      <c:dateAx>
        <c:axId val="634081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208"/>
        <c:crosses val="autoZero"/>
        <c:auto val="0"/>
        <c:lblOffset val="50"/>
        <c:baseTimeUnit val="months"/>
        <c:majorUnit val="6"/>
        <c:majorTimeUnit val="months"/>
      </c:dateAx>
      <c:valAx>
        <c:axId val="63408620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1112"/>
        <c:crosses val="autoZero"/>
        <c:crossBetween val="between"/>
        <c:majorUnit val="5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61D3-4C93-979F-A1DEED7246F2}"/>
            </c:ext>
          </c:extLst>
        </c:ser>
        <c:dLbls>
          <c:showLegendKey val="0"/>
          <c:showVal val="0"/>
          <c:showCatName val="0"/>
          <c:showSerName val="0"/>
          <c:showPercent val="0"/>
          <c:showBubbleSize val="0"/>
        </c:dLbls>
        <c:gapWidth val="0"/>
        <c:axId val="634079152"/>
        <c:axId val="634085032"/>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61D3-4C93-979F-A1DEED7246F2}"/>
            </c:ext>
          </c:extLst>
        </c:ser>
        <c:dLbls>
          <c:showLegendKey val="0"/>
          <c:showVal val="0"/>
          <c:showCatName val="0"/>
          <c:showSerName val="0"/>
          <c:showPercent val="0"/>
          <c:showBubbleSize val="0"/>
        </c:dLbls>
        <c:marker val="1"/>
        <c:smooth val="0"/>
        <c:axId val="634079152"/>
        <c:axId val="634085032"/>
      </c:lineChart>
      <c:dateAx>
        <c:axId val="634079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032"/>
        <c:crosses val="autoZero"/>
        <c:auto val="0"/>
        <c:lblOffset val="50"/>
        <c:baseTimeUnit val="months"/>
        <c:majorUnit val="6"/>
        <c:majorTimeUnit val="months"/>
      </c:dateAx>
      <c:valAx>
        <c:axId val="634085032"/>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91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USD!$H$1283:$H$1295</c:f>
              <c:numCache>
                <c:formatCode>dd/mm/yyyy;@</c:formatCode>
                <c:ptCount val="13"/>
                <c:pt idx="0">
                  <c:v>43559</c:v>
                </c:pt>
                <c:pt idx="1">
                  <c:v>43650</c:v>
                </c:pt>
                <c:pt idx="2">
                  <c:v>43742</c:v>
                </c:pt>
                <c:pt idx="3">
                  <c:v>43836</c:v>
                </c:pt>
                <c:pt idx="4">
                  <c:v>43927</c:v>
                </c:pt>
                <c:pt idx="5">
                  <c:v>44018</c:v>
                </c:pt>
                <c:pt idx="6">
                  <c:v>44109</c:v>
                </c:pt>
                <c:pt idx="7">
                  <c:v>44200</c:v>
                </c:pt>
                <c:pt idx="8">
                  <c:v>44291</c:v>
                </c:pt>
                <c:pt idx="9">
                  <c:v>44382</c:v>
                </c:pt>
                <c:pt idx="10">
                  <c:v>44473</c:v>
                </c:pt>
                <c:pt idx="11">
                  <c:v>44565</c:v>
                </c:pt>
                <c:pt idx="12">
                  <c:v>44655</c:v>
                </c:pt>
              </c:numCache>
            </c:numRef>
          </c:cat>
          <c:val>
            <c:numRef>
              <c:f>USD!$M$1283:$M$1295</c:f>
              <c:numCache>
                <c:formatCode>#,##0.00</c:formatCode>
                <c:ptCount val="13"/>
                <c:pt idx="0">
                  <c:v>-150000</c:v>
                </c:pt>
                <c:pt idx="1">
                  <c:v>15823.356164383562</c:v>
                </c:pt>
                <c:pt idx="2">
                  <c:v>15579.632712328767</c:v>
                </c:pt>
                <c:pt idx="3">
                  <c:v>15360.297698630136</c:v>
                </c:pt>
                <c:pt idx="4">
                  <c:v>14991.599958904109</c:v>
                </c:pt>
                <c:pt idx="5">
                  <c:v>14714.347890410958</c:v>
                </c:pt>
                <c:pt idx="6">
                  <c:v>14437.095821917808</c:v>
                </c:pt>
                <c:pt idx="7">
                  <c:v>14159.843753424657</c:v>
                </c:pt>
                <c:pt idx="8">
                  <c:v>13882.591684931507</c:v>
                </c:pt>
                <c:pt idx="9">
                  <c:v>13620.339616438356</c:v>
                </c:pt>
                <c:pt idx="10">
                  <c:v>13342.754712328768</c:v>
                </c:pt>
                <c:pt idx="11">
                  <c:v>13071.270575342465</c:v>
                </c:pt>
                <c:pt idx="12">
                  <c:v>12784.534520547944</c:v>
                </c:pt>
              </c:numCache>
            </c:numRef>
          </c:val>
          <c:extLst>
            <c:ext xmlns:c16="http://schemas.microsoft.com/office/drawing/2014/chart" uri="{C3380CC4-5D6E-409C-BE32-E72D297353CC}">
              <c16:uniqueId val="{00000000-4C8B-484D-AC5D-1D03E1803FCA}"/>
            </c:ext>
          </c:extLst>
        </c:ser>
        <c:dLbls>
          <c:showLegendKey val="0"/>
          <c:showVal val="0"/>
          <c:showCatName val="0"/>
          <c:showSerName val="0"/>
          <c:showPercent val="0"/>
          <c:showBubbleSize val="0"/>
        </c:dLbls>
        <c:gapWidth val="0"/>
        <c:axId val="634083072"/>
        <c:axId val="634085424"/>
      </c:barChart>
      <c:lineChart>
        <c:grouping val="standard"/>
        <c:varyColors val="0"/>
        <c:ser>
          <c:idx val="1"/>
          <c:order val="1"/>
          <c:tx>
            <c:v>Acumulado</c:v>
          </c:tx>
          <c:spPr>
            <a:ln w="28575" cap="rnd">
              <a:solidFill>
                <a:schemeClr val="accent2"/>
              </a:solidFill>
              <a:round/>
            </a:ln>
            <a:effectLst/>
          </c:spPr>
          <c:marker>
            <c:symbol val="none"/>
          </c:marker>
          <c:val>
            <c:numRef>
              <c:f>USD!$O$1139:$O$1151</c:f>
              <c:numCache>
                <c:formatCode>#,##0.00</c:formatCode>
                <c:ptCount val="13"/>
                <c:pt idx="0">
                  <c:v>-150000</c:v>
                </c:pt>
                <c:pt idx="1">
                  <c:v>-134176.64383561644</c:v>
                </c:pt>
                <c:pt idx="2">
                  <c:v>-118597.01112328768</c:v>
                </c:pt>
                <c:pt idx="3">
                  <c:v>-103236.71342465754</c:v>
                </c:pt>
                <c:pt idx="4">
                  <c:v>-88245.113465753442</c:v>
                </c:pt>
                <c:pt idx="5">
                  <c:v>-73530.765575342492</c:v>
                </c:pt>
                <c:pt idx="6">
                  <c:v>-59093.669753424685</c:v>
                </c:pt>
                <c:pt idx="7">
                  <c:v>-44933.82600000003</c:v>
                </c:pt>
                <c:pt idx="8">
                  <c:v>-31051.234315068523</c:v>
                </c:pt>
                <c:pt idx="9">
                  <c:v>-17430.894698630167</c:v>
                </c:pt>
                <c:pt idx="10">
                  <c:v>-4088.1399863013994</c:v>
                </c:pt>
                <c:pt idx="11">
                  <c:v>8983.1305890410658</c:v>
                </c:pt>
                <c:pt idx="12">
                  <c:v>21767.665109589012</c:v>
                </c:pt>
              </c:numCache>
            </c:numRef>
          </c:val>
          <c:smooth val="0"/>
          <c:extLst>
            <c:ext xmlns:c16="http://schemas.microsoft.com/office/drawing/2014/chart" uri="{C3380CC4-5D6E-409C-BE32-E72D297353CC}">
              <c16:uniqueId val="{00000001-4C8B-484D-AC5D-1D03E1803FCA}"/>
            </c:ext>
          </c:extLst>
        </c:ser>
        <c:dLbls>
          <c:showLegendKey val="0"/>
          <c:showVal val="0"/>
          <c:showCatName val="0"/>
          <c:showSerName val="0"/>
          <c:showPercent val="0"/>
          <c:showBubbleSize val="0"/>
        </c:dLbls>
        <c:marker val="1"/>
        <c:smooth val="0"/>
        <c:axId val="634083072"/>
        <c:axId val="634085424"/>
      </c:lineChart>
      <c:dateAx>
        <c:axId val="634083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5424"/>
        <c:crosses val="autoZero"/>
        <c:auto val="0"/>
        <c:lblOffset val="50"/>
        <c:baseTimeUnit val="months"/>
        <c:majorUnit val="6"/>
        <c:majorTimeUnit val="months"/>
      </c:dateAx>
      <c:valAx>
        <c:axId val="634085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07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USD!$H$1325:$H$1337</c:f>
              <c:numCache>
                <c:formatCode>dd/mm/yyyy;@</c:formatCode>
                <c:ptCount val="13"/>
                <c:pt idx="0">
                  <c:v>43140</c:v>
                </c:pt>
                <c:pt idx="1">
                  <c:v>43229</c:v>
                </c:pt>
                <c:pt idx="2">
                  <c:v>43321</c:v>
                </c:pt>
                <c:pt idx="3">
                  <c:v>43413</c:v>
                </c:pt>
                <c:pt idx="4">
                  <c:v>43507</c:v>
                </c:pt>
                <c:pt idx="5">
                  <c:v>43594</c:v>
                </c:pt>
                <c:pt idx="6">
                  <c:v>43686</c:v>
                </c:pt>
                <c:pt idx="7">
                  <c:v>43780</c:v>
                </c:pt>
                <c:pt idx="8">
                  <c:v>43871</c:v>
                </c:pt>
                <c:pt idx="9">
                  <c:v>43962</c:v>
                </c:pt>
                <c:pt idx="10">
                  <c:v>44053</c:v>
                </c:pt>
                <c:pt idx="11">
                  <c:v>44144</c:v>
                </c:pt>
                <c:pt idx="12">
                  <c:v>44236</c:v>
                </c:pt>
              </c:numCache>
            </c:numRef>
          </c:cat>
          <c:val>
            <c:numRef>
              <c:f>USD!$M$1325:$M$1337</c:f>
              <c:numCache>
                <c:formatCode>#,##0.00</c:formatCode>
                <c:ptCount val="13"/>
                <c:pt idx="0">
                  <c:v>-350000</c:v>
                </c:pt>
                <c:pt idx="1">
                  <c:v>10241.095890410959</c:v>
                </c:pt>
                <c:pt idx="2">
                  <c:v>10586.301369863015</c:v>
                </c:pt>
                <c:pt idx="3">
                  <c:v>10586.301369863015</c:v>
                </c:pt>
                <c:pt idx="4">
                  <c:v>49701.438356164384</c:v>
                </c:pt>
                <c:pt idx="5">
                  <c:v>47783.741369863012</c:v>
                </c:pt>
                <c:pt idx="6">
                  <c:v>47119.025205479455</c:v>
                </c:pt>
                <c:pt idx="7">
                  <c:v>46096.319452054799</c:v>
                </c:pt>
                <c:pt idx="8">
                  <c:v>44702.816986301368</c:v>
                </c:pt>
                <c:pt idx="9">
                  <c:v>43539.463013698631</c:v>
                </c:pt>
                <c:pt idx="10">
                  <c:v>42376.109041095893</c:v>
                </c:pt>
                <c:pt idx="11">
                  <c:v>41212.755068493148</c:v>
                </c:pt>
                <c:pt idx="12">
                  <c:v>40097.196712328769</c:v>
                </c:pt>
              </c:numCache>
            </c:numRef>
          </c:val>
          <c:extLst>
            <c:ext xmlns:c16="http://schemas.microsoft.com/office/drawing/2014/chart" uri="{C3380CC4-5D6E-409C-BE32-E72D297353CC}">
              <c16:uniqueId val="{00000000-1741-4518-AEDE-AF6138C7A813}"/>
            </c:ext>
          </c:extLst>
        </c:ser>
        <c:dLbls>
          <c:showLegendKey val="0"/>
          <c:showVal val="0"/>
          <c:showCatName val="0"/>
          <c:showSerName val="0"/>
          <c:showPercent val="0"/>
          <c:showBubbleSize val="0"/>
        </c:dLbls>
        <c:gapWidth val="0"/>
        <c:axId val="634087384"/>
        <c:axId val="634086600"/>
      </c:barChart>
      <c:lineChart>
        <c:grouping val="standard"/>
        <c:varyColors val="0"/>
        <c:ser>
          <c:idx val="1"/>
          <c:order val="1"/>
          <c:tx>
            <c:v>Acumulado</c:v>
          </c:tx>
          <c:spPr>
            <a:ln w="28575" cap="rnd">
              <a:solidFill>
                <a:schemeClr val="accent2"/>
              </a:solidFill>
              <a:round/>
            </a:ln>
            <a:effectLst/>
          </c:spPr>
          <c:marker>
            <c:symbol val="none"/>
          </c:marker>
          <c:val>
            <c:numRef>
              <c:f>USD!$O$1178:$O$1190</c:f>
              <c:numCache>
                <c:formatCode>#,##0.00</c:formatCode>
                <c:ptCount val="13"/>
                <c:pt idx="0">
                  <c:v>-350000</c:v>
                </c:pt>
                <c:pt idx="1">
                  <c:v>-339758.90410958906</c:v>
                </c:pt>
                <c:pt idx="2">
                  <c:v>-329172.60273972602</c:v>
                </c:pt>
                <c:pt idx="3">
                  <c:v>-318586.30136986298</c:v>
                </c:pt>
                <c:pt idx="4">
                  <c:v>-268884.8630136986</c:v>
                </c:pt>
                <c:pt idx="5">
                  <c:v>-221101.12164383559</c:v>
                </c:pt>
                <c:pt idx="6">
                  <c:v>-173982.09643835615</c:v>
                </c:pt>
                <c:pt idx="7">
                  <c:v>-127885.77698630135</c:v>
                </c:pt>
                <c:pt idx="8">
                  <c:v>-83182.959999999992</c:v>
                </c:pt>
                <c:pt idx="9">
                  <c:v>-39643.496986301361</c:v>
                </c:pt>
                <c:pt idx="10">
                  <c:v>2732.612054794532</c:v>
                </c:pt>
                <c:pt idx="11">
                  <c:v>43945.36712328768</c:v>
                </c:pt>
                <c:pt idx="12">
                  <c:v>84042.563835616456</c:v>
                </c:pt>
              </c:numCache>
            </c:numRef>
          </c:val>
          <c:smooth val="0"/>
          <c:extLst>
            <c:ext xmlns:c16="http://schemas.microsoft.com/office/drawing/2014/chart" uri="{C3380CC4-5D6E-409C-BE32-E72D297353CC}">
              <c16:uniqueId val="{00000001-1741-4518-AEDE-AF6138C7A813}"/>
            </c:ext>
          </c:extLst>
        </c:ser>
        <c:dLbls>
          <c:showLegendKey val="0"/>
          <c:showVal val="0"/>
          <c:showCatName val="0"/>
          <c:showSerName val="0"/>
          <c:showPercent val="0"/>
          <c:showBubbleSize val="0"/>
        </c:dLbls>
        <c:marker val="1"/>
        <c:smooth val="0"/>
        <c:axId val="634087384"/>
        <c:axId val="634086600"/>
      </c:lineChart>
      <c:dateAx>
        <c:axId val="634087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6600"/>
        <c:crosses val="autoZero"/>
        <c:auto val="0"/>
        <c:lblOffset val="50"/>
        <c:baseTimeUnit val="months"/>
        <c:majorUnit val="6"/>
        <c:majorTimeUnit val="months"/>
      </c:dateAx>
      <c:valAx>
        <c:axId val="634086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7384"/>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USD!$H$1367:$H$1379</c:f>
              <c:numCache>
                <c:formatCode>dd/mm/yyyy;@</c:formatCode>
                <c:ptCount val="13"/>
                <c:pt idx="0">
                  <c:v>43168</c:v>
                </c:pt>
                <c:pt idx="1">
                  <c:v>43262</c:v>
                </c:pt>
                <c:pt idx="2">
                  <c:v>43353</c:v>
                </c:pt>
                <c:pt idx="3">
                  <c:v>43444</c:v>
                </c:pt>
                <c:pt idx="4">
                  <c:v>43535</c:v>
                </c:pt>
                <c:pt idx="5">
                  <c:v>43626</c:v>
                </c:pt>
                <c:pt idx="6">
                  <c:v>43717</c:v>
                </c:pt>
                <c:pt idx="7">
                  <c:v>43808</c:v>
                </c:pt>
                <c:pt idx="8">
                  <c:v>43899</c:v>
                </c:pt>
                <c:pt idx="9">
                  <c:v>43991</c:v>
                </c:pt>
                <c:pt idx="10">
                  <c:v>44083</c:v>
                </c:pt>
                <c:pt idx="11">
                  <c:v>44174</c:v>
                </c:pt>
                <c:pt idx="12">
                  <c:v>44264</c:v>
                </c:pt>
              </c:numCache>
            </c:numRef>
          </c:cat>
          <c:val>
            <c:numRef>
              <c:f>USD!$M$1367:$M$1379</c:f>
              <c:numCache>
                <c:formatCode>#,##0.00</c:formatCode>
                <c:ptCount val="13"/>
                <c:pt idx="0">
                  <c:v>-880000</c:v>
                </c:pt>
                <c:pt idx="1">
                  <c:v>17563.835616438359</c:v>
                </c:pt>
                <c:pt idx="2">
                  <c:v>17003.28767123288</c:v>
                </c:pt>
                <c:pt idx="3">
                  <c:v>17003.28767123288</c:v>
                </c:pt>
                <c:pt idx="4">
                  <c:v>114771.28767123289</c:v>
                </c:pt>
                <c:pt idx="5">
                  <c:v>112882.2224109589</c:v>
                </c:pt>
                <c:pt idx="6">
                  <c:v>110993.15715068493</c:v>
                </c:pt>
                <c:pt idx="7">
                  <c:v>109104.09189041096</c:v>
                </c:pt>
                <c:pt idx="8">
                  <c:v>107215.02663013698</c:v>
                </c:pt>
                <c:pt idx="9">
                  <c:v>105409.01589041096</c:v>
                </c:pt>
                <c:pt idx="10">
                  <c:v>103499.19167123288</c:v>
                </c:pt>
                <c:pt idx="11">
                  <c:v>101547.83084931507</c:v>
                </c:pt>
                <c:pt idx="12">
                  <c:v>99725.987945205474</c:v>
                </c:pt>
              </c:numCache>
            </c:numRef>
          </c:val>
          <c:extLst>
            <c:ext xmlns:c16="http://schemas.microsoft.com/office/drawing/2014/chart" uri="{C3380CC4-5D6E-409C-BE32-E72D297353CC}">
              <c16:uniqueId val="{00000000-E025-4249-8F7B-E78C3E8FBF86}"/>
            </c:ext>
          </c:extLst>
        </c:ser>
        <c:dLbls>
          <c:showLegendKey val="0"/>
          <c:showVal val="0"/>
          <c:showCatName val="0"/>
          <c:showSerName val="0"/>
          <c:showPercent val="0"/>
          <c:showBubbleSize val="0"/>
        </c:dLbls>
        <c:gapWidth val="0"/>
        <c:axId val="634088952"/>
        <c:axId val="634087776"/>
      </c:barChart>
      <c:lineChart>
        <c:grouping val="standard"/>
        <c:varyColors val="0"/>
        <c:ser>
          <c:idx val="1"/>
          <c:order val="1"/>
          <c:tx>
            <c:v>Acumulado</c:v>
          </c:tx>
          <c:spPr>
            <a:ln w="28575" cap="rnd">
              <a:solidFill>
                <a:schemeClr val="accent2"/>
              </a:solidFill>
              <a:round/>
            </a:ln>
            <a:effectLst/>
          </c:spPr>
          <c:marker>
            <c:symbol val="none"/>
          </c:marker>
          <c:val>
            <c:numRef>
              <c:f>USD!$O$1220:$O$1232</c:f>
              <c:numCache>
                <c:formatCode>#,##0.00</c:formatCode>
                <c:ptCount val="13"/>
                <c:pt idx="0">
                  <c:v>-880000</c:v>
                </c:pt>
                <c:pt idx="1">
                  <c:v>-862436.16438356158</c:v>
                </c:pt>
                <c:pt idx="2">
                  <c:v>-845432.87671232875</c:v>
                </c:pt>
                <c:pt idx="3">
                  <c:v>-828429.58904109593</c:v>
                </c:pt>
                <c:pt idx="4">
                  <c:v>-713658.3013698631</c:v>
                </c:pt>
                <c:pt idx="5">
                  <c:v>-600776.07895890414</c:v>
                </c:pt>
                <c:pt idx="6">
                  <c:v>-489782.92180821922</c:v>
                </c:pt>
                <c:pt idx="7">
                  <c:v>-380678.8299178083</c:v>
                </c:pt>
                <c:pt idx="8">
                  <c:v>-273463.8032876713</c:v>
                </c:pt>
                <c:pt idx="9">
                  <c:v>-168054.78739726034</c:v>
                </c:pt>
                <c:pt idx="10">
                  <c:v>-64555.595726027459</c:v>
                </c:pt>
                <c:pt idx="11">
                  <c:v>36992.23512328761</c:v>
                </c:pt>
                <c:pt idx="12">
                  <c:v>136718.22306849307</c:v>
                </c:pt>
              </c:numCache>
            </c:numRef>
          </c:val>
          <c:smooth val="0"/>
          <c:extLst>
            <c:ext xmlns:c16="http://schemas.microsoft.com/office/drawing/2014/chart" uri="{C3380CC4-5D6E-409C-BE32-E72D297353CC}">
              <c16:uniqueId val="{00000001-E025-4249-8F7B-E78C3E8FBF86}"/>
            </c:ext>
          </c:extLst>
        </c:ser>
        <c:dLbls>
          <c:showLegendKey val="0"/>
          <c:showVal val="0"/>
          <c:showCatName val="0"/>
          <c:showSerName val="0"/>
          <c:showPercent val="0"/>
          <c:showBubbleSize val="0"/>
        </c:dLbls>
        <c:marker val="1"/>
        <c:smooth val="0"/>
        <c:axId val="634088952"/>
        <c:axId val="634087776"/>
      </c:lineChart>
      <c:dateAx>
        <c:axId val="634088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7776"/>
        <c:crosses val="autoZero"/>
        <c:auto val="0"/>
        <c:lblOffset val="50"/>
        <c:baseTimeUnit val="months"/>
        <c:majorUnit val="6"/>
        <c:majorTimeUnit val="months"/>
      </c:dateAx>
      <c:valAx>
        <c:axId val="634087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952"/>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USD!$H$1409:$H$1421</c:f>
              <c:numCache>
                <c:formatCode>dd/mm/yyyy;@</c:formatCode>
                <c:ptCount val="13"/>
                <c:pt idx="0">
                  <c:v>43301</c:v>
                </c:pt>
                <c:pt idx="1">
                  <c:v>43395</c:v>
                </c:pt>
                <c:pt idx="2">
                  <c:v>43486</c:v>
                </c:pt>
                <c:pt idx="3">
                  <c:v>43577</c:v>
                </c:pt>
                <c:pt idx="4">
                  <c:v>43668</c:v>
                </c:pt>
                <c:pt idx="5">
                  <c:v>43759</c:v>
                </c:pt>
                <c:pt idx="6">
                  <c:v>43850</c:v>
                </c:pt>
                <c:pt idx="7">
                  <c:v>43941</c:v>
                </c:pt>
                <c:pt idx="8">
                  <c:v>44032</c:v>
                </c:pt>
                <c:pt idx="9">
                  <c:v>44124</c:v>
                </c:pt>
                <c:pt idx="10">
                  <c:v>44216</c:v>
                </c:pt>
                <c:pt idx="11">
                  <c:v>44306</c:v>
                </c:pt>
                <c:pt idx="12">
                  <c:v>44397</c:v>
                </c:pt>
              </c:numCache>
            </c:numRef>
          </c:cat>
          <c:val>
            <c:numRef>
              <c:f>USD!$M$1409:$M$1421</c:f>
              <c:numCache>
                <c:formatCode>#,##0.00</c:formatCode>
                <c:ptCount val="13"/>
                <c:pt idx="0">
                  <c:v>-200000</c:v>
                </c:pt>
                <c:pt idx="1">
                  <c:v>21379.543378995433</c:v>
                </c:pt>
                <c:pt idx="2">
                  <c:v>20848.92694063927</c:v>
                </c:pt>
                <c:pt idx="3">
                  <c:v>20468.721461187215</c:v>
                </c:pt>
                <c:pt idx="4">
                  <c:v>20088.51598173516</c:v>
                </c:pt>
                <c:pt idx="5">
                  <c:v>19708.310502283108</c:v>
                </c:pt>
                <c:pt idx="6">
                  <c:v>19328.105022831052</c:v>
                </c:pt>
                <c:pt idx="7">
                  <c:v>18947.899543378997</c:v>
                </c:pt>
                <c:pt idx="8">
                  <c:v>18567.694063926941</c:v>
                </c:pt>
                <c:pt idx="9">
                  <c:v>18204.20091324201</c:v>
                </c:pt>
                <c:pt idx="10">
                  <c:v>17819.817351598176</c:v>
                </c:pt>
                <c:pt idx="11">
                  <c:v>17418.721461187215</c:v>
                </c:pt>
                <c:pt idx="12">
                  <c:v>17046.872146118723</c:v>
                </c:pt>
              </c:numCache>
            </c:numRef>
          </c:val>
          <c:extLst>
            <c:ext xmlns:c16="http://schemas.microsoft.com/office/drawing/2014/chart" uri="{C3380CC4-5D6E-409C-BE32-E72D297353CC}">
              <c16:uniqueId val="{00000000-F9C2-4841-BC93-22C98BA5E1C5}"/>
            </c:ext>
          </c:extLst>
        </c:ser>
        <c:dLbls>
          <c:showLegendKey val="0"/>
          <c:showVal val="0"/>
          <c:showCatName val="0"/>
          <c:showSerName val="0"/>
          <c:showPercent val="0"/>
          <c:showBubbleSize val="0"/>
        </c:dLbls>
        <c:gapWidth val="0"/>
        <c:axId val="634077976"/>
        <c:axId val="634089344"/>
      </c:barChart>
      <c:lineChart>
        <c:grouping val="standard"/>
        <c:varyColors val="0"/>
        <c:ser>
          <c:idx val="1"/>
          <c:order val="1"/>
          <c:tx>
            <c:v>Acumulado</c:v>
          </c:tx>
          <c:spPr>
            <a:ln w="28575" cap="rnd">
              <a:solidFill>
                <a:schemeClr val="accent2"/>
              </a:solidFill>
              <a:round/>
            </a:ln>
            <a:effectLst/>
          </c:spPr>
          <c:marker>
            <c:symbol val="none"/>
          </c:marker>
          <c:val>
            <c:numRef>
              <c:f>USD!$O$1262:$O$1274</c:f>
              <c:numCache>
                <c:formatCode>#,##0.00</c:formatCode>
                <c:ptCount val="13"/>
                <c:pt idx="0">
                  <c:v>-200000</c:v>
                </c:pt>
                <c:pt idx="1">
                  <c:v>-178620.45662100456</c:v>
                </c:pt>
                <c:pt idx="2">
                  <c:v>-157771.52968036529</c:v>
                </c:pt>
                <c:pt idx="3">
                  <c:v>-137302.80821917808</c:v>
                </c:pt>
                <c:pt idx="4">
                  <c:v>-117214.29223744292</c:v>
                </c:pt>
                <c:pt idx="5">
                  <c:v>-97505.981735159818</c:v>
                </c:pt>
                <c:pt idx="6">
                  <c:v>-78177.876712328769</c:v>
                </c:pt>
                <c:pt idx="7">
                  <c:v>-59229.977168949772</c:v>
                </c:pt>
                <c:pt idx="8">
                  <c:v>-40662.283105022827</c:v>
                </c:pt>
                <c:pt idx="9">
                  <c:v>-22458.082191780817</c:v>
                </c:pt>
                <c:pt idx="10">
                  <c:v>-4638.2648401826409</c:v>
                </c:pt>
                <c:pt idx="11">
                  <c:v>12780.456621004574</c:v>
                </c:pt>
                <c:pt idx="12">
                  <c:v>29827.328767123297</c:v>
                </c:pt>
              </c:numCache>
            </c:numRef>
          </c:val>
          <c:smooth val="0"/>
          <c:extLst>
            <c:ext xmlns:c16="http://schemas.microsoft.com/office/drawing/2014/chart" uri="{C3380CC4-5D6E-409C-BE32-E72D297353CC}">
              <c16:uniqueId val="{00000001-F9C2-4841-BC93-22C98BA5E1C5}"/>
            </c:ext>
          </c:extLst>
        </c:ser>
        <c:dLbls>
          <c:showLegendKey val="0"/>
          <c:showVal val="0"/>
          <c:showCatName val="0"/>
          <c:showSerName val="0"/>
          <c:showPercent val="0"/>
          <c:showBubbleSize val="0"/>
        </c:dLbls>
        <c:marker val="1"/>
        <c:smooth val="0"/>
        <c:axId val="634077976"/>
        <c:axId val="634089344"/>
      </c:lineChart>
      <c:dateAx>
        <c:axId val="6340779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9344"/>
        <c:crosses val="autoZero"/>
        <c:auto val="0"/>
        <c:lblOffset val="50"/>
        <c:baseTimeUnit val="months"/>
        <c:majorUnit val="6"/>
        <c:majorTimeUnit val="months"/>
      </c:dateAx>
      <c:valAx>
        <c:axId val="634089344"/>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7797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USD!$H$1451:$H$1467</c:f>
              <c:numCache>
                <c:formatCode>dd/mm/yyyy;@</c:formatCode>
                <c:ptCount val="17"/>
                <c:pt idx="0">
                  <c:v>43411</c:v>
                </c:pt>
                <c:pt idx="1">
                  <c:v>43503</c:v>
                </c:pt>
                <c:pt idx="2">
                  <c:v>43592</c:v>
                </c:pt>
                <c:pt idx="3">
                  <c:v>43684</c:v>
                </c:pt>
                <c:pt idx="4">
                  <c:v>43776</c:v>
                </c:pt>
                <c:pt idx="5">
                  <c:v>43868</c:v>
                </c:pt>
                <c:pt idx="6">
                  <c:v>43958</c:v>
                </c:pt>
                <c:pt idx="7">
                  <c:v>44050</c:v>
                </c:pt>
                <c:pt idx="8">
                  <c:v>44144</c:v>
                </c:pt>
                <c:pt idx="9">
                  <c:v>44235</c:v>
                </c:pt>
                <c:pt idx="10">
                  <c:v>44323</c:v>
                </c:pt>
                <c:pt idx="11">
                  <c:v>44417</c:v>
                </c:pt>
                <c:pt idx="12">
                  <c:v>44508</c:v>
                </c:pt>
                <c:pt idx="13">
                  <c:v>44599</c:v>
                </c:pt>
                <c:pt idx="14">
                  <c:v>44690</c:v>
                </c:pt>
                <c:pt idx="15">
                  <c:v>44781</c:v>
                </c:pt>
                <c:pt idx="16">
                  <c:v>44872</c:v>
                </c:pt>
              </c:numCache>
            </c:numRef>
          </c:cat>
          <c:val>
            <c:numRef>
              <c:f>USD!$M$1451:$M$1467</c:f>
              <c:numCache>
                <c:formatCode>#,##0.00</c:formatCode>
                <c:ptCount val="17"/>
                <c:pt idx="0">
                  <c:v>-200000</c:v>
                </c:pt>
                <c:pt idx="1">
                  <c:v>5041.0958904109602</c:v>
                </c:pt>
                <c:pt idx="2">
                  <c:v>4876.7123287671238</c:v>
                </c:pt>
                <c:pt idx="3">
                  <c:v>5041.0958904109602</c:v>
                </c:pt>
                <c:pt idx="4">
                  <c:v>5041.0958904109602</c:v>
                </c:pt>
                <c:pt idx="5">
                  <c:v>5041.0958904109602</c:v>
                </c:pt>
                <c:pt idx="6">
                  <c:v>4931.5068493150693</c:v>
                </c:pt>
                <c:pt idx="7">
                  <c:v>25041.095890410961</c:v>
                </c:pt>
                <c:pt idx="8">
                  <c:v>24635.616438356163</c:v>
                </c:pt>
                <c:pt idx="9">
                  <c:v>23989.04109589041</c:v>
                </c:pt>
                <c:pt idx="10">
                  <c:v>23375.342465753427</c:v>
                </c:pt>
                <c:pt idx="11">
                  <c:v>23090.410958904111</c:v>
                </c:pt>
                <c:pt idx="12">
                  <c:v>22493.150684931508</c:v>
                </c:pt>
                <c:pt idx="13">
                  <c:v>21994.520547945205</c:v>
                </c:pt>
                <c:pt idx="14">
                  <c:v>21495.890410958906</c:v>
                </c:pt>
                <c:pt idx="15">
                  <c:v>20997.260273972603</c:v>
                </c:pt>
                <c:pt idx="16">
                  <c:v>20498.630136986303</c:v>
                </c:pt>
              </c:numCache>
            </c:numRef>
          </c:val>
          <c:extLst>
            <c:ext xmlns:c16="http://schemas.microsoft.com/office/drawing/2014/chart" uri="{C3380CC4-5D6E-409C-BE32-E72D297353CC}">
              <c16:uniqueId val="{00000000-6E44-4A2E-A0DE-93FE7F17B974}"/>
            </c:ext>
          </c:extLst>
        </c:ser>
        <c:dLbls>
          <c:showLegendKey val="0"/>
          <c:showVal val="0"/>
          <c:showCatName val="0"/>
          <c:showSerName val="0"/>
          <c:showPercent val="0"/>
          <c:showBubbleSize val="0"/>
        </c:dLbls>
        <c:gapWidth val="0"/>
        <c:axId val="634082288"/>
        <c:axId val="634081896"/>
      </c:barChart>
      <c:lineChart>
        <c:grouping val="standard"/>
        <c:varyColors val="0"/>
        <c:ser>
          <c:idx val="1"/>
          <c:order val="1"/>
          <c:tx>
            <c:v>Acumulado</c:v>
          </c:tx>
          <c:spPr>
            <a:ln w="28575" cap="rnd">
              <a:solidFill>
                <a:schemeClr val="accent2"/>
              </a:solidFill>
              <a:round/>
            </a:ln>
            <a:effectLst/>
          </c:spPr>
          <c:marker>
            <c:symbol val="none"/>
          </c:marker>
          <c:val>
            <c:numRef>
              <c:f>USD!$O$1304:$O$1320</c:f>
              <c:numCache>
                <c:formatCode>#,##0.00</c:formatCode>
                <c:ptCount val="17"/>
                <c:pt idx="0">
                  <c:v>-200000</c:v>
                </c:pt>
                <c:pt idx="1">
                  <c:v>-194958.90410958903</c:v>
                </c:pt>
                <c:pt idx="2">
                  <c:v>-190082.19178082192</c:v>
                </c:pt>
                <c:pt idx="3">
                  <c:v>-185041.09589041094</c:v>
                </c:pt>
                <c:pt idx="4">
                  <c:v>-179999.99999999997</c:v>
                </c:pt>
                <c:pt idx="5">
                  <c:v>-174958.904109589</c:v>
                </c:pt>
                <c:pt idx="6">
                  <c:v>-170027.39726027392</c:v>
                </c:pt>
                <c:pt idx="7">
                  <c:v>-144986.30136986295</c:v>
                </c:pt>
                <c:pt idx="8">
                  <c:v>-120350.68493150678</c:v>
                </c:pt>
                <c:pt idx="9">
                  <c:v>-96361.643835616371</c:v>
                </c:pt>
                <c:pt idx="10">
                  <c:v>-72986.301369862951</c:v>
                </c:pt>
                <c:pt idx="11">
                  <c:v>-49895.89041095884</c:v>
                </c:pt>
                <c:pt idx="12">
                  <c:v>-27402.739726027332</c:v>
                </c:pt>
                <c:pt idx="13">
                  <c:v>-5408.2191780821267</c:v>
                </c:pt>
                <c:pt idx="14">
                  <c:v>16087.671232876779</c:v>
                </c:pt>
                <c:pt idx="15">
                  <c:v>37084.931506849382</c:v>
                </c:pt>
                <c:pt idx="16">
                  <c:v>57583.561643835681</c:v>
                </c:pt>
              </c:numCache>
            </c:numRef>
          </c:val>
          <c:smooth val="0"/>
          <c:extLst>
            <c:ext xmlns:c16="http://schemas.microsoft.com/office/drawing/2014/chart" uri="{C3380CC4-5D6E-409C-BE32-E72D297353CC}">
              <c16:uniqueId val="{00000001-6E44-4A2E-A0DE-93FE7F17B974}"/>
            </c:ext>
          </c:extLst>
        </c:ser>
        <c:dLbls>
          <c:showLegendKey val="0"/>
          <c:showVal val="0"/>
          <c:showCatName val="0"/>
          <c:showSerName val="0"/>
          <c:showPercent val="0"/>
          <c:showBubbleSize val="0"/>
        </c:dLbls>
        <c:marker val="1"/>
        <c:smooth val="0"/>
        <c:axId val="634082288"/>
        <c:axId val="634081896"/>
      </c:lineChart>
      <c:dateAx>
        <c:axId val="634082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1896"/>
        <c:crosses val="autoZero"/>
        <c:auto val="0"/>
        <c:lblOffset val="50"/>
        <c:baseTimeUnit val="months"/>
        <c:majorUnit val="6"/>
        <c:majorTimeUnit val="months"/>
      </c:dateAx>
      <c:valAx>
        <c:axId val="634081896"/>
        <c:scaling>
          <c:orientation val="minMax"/>
          <c:min val="-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228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USD!$H$1497:$H$1503</c:f>
              <c:numCache>
                <c:formatCode>dd/mm/yyyy;@</c:formatCode>
                <c:ptCount val="7"/>
                <c:pt idx="0">
                  <c:v>43424</c:v>
                </c:pt>
                <c:pt idx="1">
                  <c:v>43605</c:v>
                </c:pt>
                <c:pt idx="2">
                  <c:v>43789</c:v>
                </c:pt>
                <c:pt idx="3">
                  <c:v>43971</c:v>
                </c:pt>
                <c:pt idx="4">
                  <c:v>44155</c:v>
                </c:pt>
                <c:pt idx="5">
                  <c:v>44336</c:v>
                </c:pt>
                <c:pt idx="6">
                  <c:v>44520</c:v>
                </c:pt>
              </c:numCache>
            </c:numRef>
          </c:cat>
          <c:val>
            <c:numRef>
              <c:f>USD!$M$1497:$M$1503</c:f>
              <c:numCache>
                <c:formatCode>#,##0.00</c:formatCode>
                <c:ptCount val="7"/>
                <c:pt idx="0">
                  <c:v>-150000</c:v>
                </c:pt>
                <c:pt idx="1">
                  <c:v>32257.39726027397</c:v>
                </c:pt>
                <c:pt idx="2">
                  <c:v>31148.589863013694</c:v>
                </c:pt>
                <c:pt idx="3">
                  <c:v>29866.157671232875</c:v>
                </c:pt>
                <c:pt idx="4">
                  <c:v>28690.564109589039</c:v>
                </c:pt>
                <c:pt idx="5">
                  <c:v>27406.498767123288</c:v>
                </c:pt>
                <c:pt idx="6">
                  <c:v>26218.275616438357</c:v>
                </c:pt>
              </c:numCache>
            </c:numRef>
          </c:val>
          <c:extLst>
            <c:ext xmlns:c16="http://schemas.microsoft.com/office/drawing/2014/chart" uri="{C3380CC4-5D6E-409C-BE32-E72D297353CC}">
              <c16:uniqueId val="{00000000-67BC-467B-9E63-062D1A57B4A0}"/>
            </c:ext>
          </c:extLst>
        </c:ser>
        <c:dLbls>
          <c:showLegendKey val="0"/>
          <c:showVal val="0"/>
          <c:showCatName val="0"/>
          <c:showSerName val="0"/>
          <c:showPercent val="0"/>
          <c:showBubbleSize val="0"/>
        </c:dLbls>
        <c:gapWidth val="0"/>
        <c:axId val="634083856"/>
        <c:axId val="634084248"/>
      </c:barChart>
      <c:lineChart>
        <c:grouping val="standard"/>
        <c:varyColors val="0"/>
        <c:ser>
          <c:idx val="1"/>
          <c:order val="1"/>
          <c:tx>
            <c:v>Acumulado</c:v>
          </c:tx>
          <c:spPr>
            <a:ln w="28575" cap="rnd">
              <a:solidFill>
                <a:schemeClr val="accent2"/>
              </a:solidFill>
              <a:round/>
            </a:ln>
            <a:effectLst/>
          </c:spPr>
          <c:marker>
            <c:symbol val="none"/>
          </c:marker>
          <c:val>
            <c:numRef>
              <c:f>USD!$O$1350:$O$1356</c:f>
              <c:numCache>
                <c:formatCode>#,##0.00</c:formatCode>
                <c:ptCount val="7"/>
                <c:pt idx="0">
                  <c:v>-150000</c:v>
                </c:pt>
                <c:pt idx="1">
                  <c:v>-117742.60273972603</c:v>
                </c:pt>
                <c:pt idx="2">
                  <c:v>-86594.012876712339</c:v>
                </c:pt>
                <c:pt idx="3">
                  <c:v>-56727.855205479464</c:v>
                </c:pt>
                <c:pt idx="4">
                  <c:v>-28037.291095890425</c:v>
                </c:pt>
                <c:pt idx="5">
                  <c:v>-630.7923287671365</c:v>
                </c:pt>
                <c:pt idx="6">
                  <c:v>25587.483287671221</c:v>
                </c:pt>
              </c:numCache>
            </c:numRef>
          </c:val>
          <c:smooth val="0"/>
          <c:extLst>
            <c:ext xmlns:c16="http://schemas.microsoft.com/office/drawing/2014/chart" uri="{C3380CC4-5D6E-409C-BE32-E72D297353CC}">
              <c16:uniqueId val="{00000001-67BC-467B-9E63-062D1A57B4A0}"/>
            </c:ext>
          </c:extLst>
        </c:ser>
        <c:dLbls>
          <c:showLegendKey val="0"/>
          <c:showVal val="0"/>
          <c:showCatName val="0"/>
          <c:showSerName val="0"/>
          <c:showPercent val="0"/>
          <c:showBubbleSize val="0"/>
        </c:dLbls>
        <c:marker val="1"/>
        <c:smooth val="0"/>
        <c:axId val="634083856"/>
        <c:axId val="634084248"/>
      </c:lineChart>
      <c:dateAx>
        <c:axId val="6340838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84248"/>
        <c:crosses val="autoZero"/>
        <c:auto val="0"/>
        <c:lblOffset val="50"/>
        <c:baseTimeUnit val="months"/>
        <c:majorUnit val="6"/>
        <c:majorTimeUnit val="months"/>
      </c:dateAx>
      <c:valAx>
        <c:axId val="634084248"/>
        <c:scaling>
          <c:orientation val="minMax"/>
          <c:min val="-15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3856"/>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ARS!$H$193:$H$199</c:f>
              <c:numCache>
                <c:formatCode>dd/mm/yyyy;@</c:formatCode>
                <c:ptCount val="7"/>
                <c:pt idx="0">
                  <c:v>43311</c:v>
                </c:pt>
                <c:pt idx="1">
                  <c:v>43495</c:v>
                </c:pt>
                <c:pt idx="2">
                  <c:v>43676</c:v>
                </c:pt>
                <c:pt idx="3">
                  <c:v>43860</c:v>
                </c:pt>
                <c:pt idx="4">
                  <c:v>44042</c:v>
                </c:pt>
                <c:pt idx="5">
                  <c:v>44228</c:v>
                </c:pt>
                <c:pt idx="6">
                  <c:v>44407</c:v>
                </c:pt>
              </c:numCache>
            </c:numRef>
          </c:cat>
          <c:val>
            <c:numRef>
              <c:f>ARS!$M$193:$M$199</c:f>
              <c:numCache>
                <c:formatCode>#,##0.00</c:formatCode>
                <c:ptCount val="7"/>
                <c:pt idx="0">
                  <c:v>-33000000</c:v>
                </c:pt>
                <c:pt idx="1">
                  <c:v>6240666.666666667</c:v>
                </c:pt>
                <c:pt idx="2">
                  <c:v>11088916.666666668</c:v>
                </c:pt>
                <c:pt idx="3">
                  <c:v>10254566.666666668</c:v>
                </c:pt>
                <c:pt idx="4">
                  <c:v>10920983.333333332</c:v>
                </c:pt>
                <c:pt idx="5">
                  <c:v>9754250</c:v>
                </c:pt>
                <c:pt idx="6">
                  <c:v>11721325</c:v>
                </c:pt>
              </c:numCache>
            </c:numRef>
          </c:val>
          <c:extLst>
            <c:ext xmlns:c16="http://schemas.microsoft.com/office/drawing/2014/chart" uri="{C3380CC4-5D6E-409C-BE32-E72D297353CC}">
              <c16:uniqueId val="{00000000-C8E0-407C-B876-995AEF6F6E80}"/>
            </c:ext>
          </c:extLst>
        </c:ser>
        <c:dLbls>
          <c:showLegendKey val="0"/>
          <c:showVal val="0"/>
          <c:showCatName val="0"/>
          <c:showSerName val="0"/>
          <c:showPercent val="0"/>
          <c:showBubbleSize val="0"/>
        </c:dLbls>
        <c:gapWidth val="0"/>
        <c:axId val="600728424"/>
        <c:axId val="600729208"/>
      </c:barChart>
      <c:lineChart>
        <c:grouping val="standard"/>
        <c:varyColors val="0"/>
        <c:ser>
          <c:idx val="1"/>
          <c:order val="1"/>
          <c:tx>
            <c:v>Acumulado</c:v>
          </c:tx>
          <c:spPr>
            <a:ln w="28575" cap="rnd">
              <a:solidFill>
                <a:schemeClr val="accent2"/>
              </a:solidFill>
              <a:round/>
            </a:ln>
            <a:effectLst/>
          </c:spPr>
          <c:marker>
            <c:symbol val="none"/>
          </c:marker>
          <c:val>
            <c:numRef>
              <c:f>ARS!$O$155:$O$161</c:f>
              <c:numCache>
                <c:formatCode>#,##0.00</c:formatCode>
                <c:ptCount val="7"/>
                <c:pt idx="0">
                  <c:v>-33000000</c:v>
                </c:pt>
                <c:pt idx="1">
                  <c:v>-26759333.333333332</c:v>
                </c:pt>
                <c:pt idx="2">
                  <c:v>-15670416.666666664</c:v>
                </c:pt>
                <c:pt idx="3">
                  <c:v>-5415849.9999999963</c:v>
                </c:pt>
                <c:pt idx="4">
                  <c:v>5505133.3333333358</c:v>
                </c:pt>
                <c:pt idx="5">
                  <c:v>15259383.333333336</c:v>
                </c:pt>
                <c:pt idx="6">
                  <c:v>26980708.333333336</c:v>
                </c:pt>
              </c:numCache>
            </c:numRef>
          </c:val>
          <c:smooth val="0"/>
          <c:extLst>
            <c:ext xmlns:c16="http://schemas.microsoft.com/office/drawing/2014/chart" uri="{C3380CC4-5D6E-409C-BE32-E72D297353CC}">
              <c16:uniqueId val="{00000001-C8E0-407C-B876-995AEF6F6E80}"/>
            </c:ext>
          </c:extLst>
        </c:ser>
        <c:dLbls>
          <c:showLegendKey val="0"/>
          <c:showVal val="0"/>
          <c:showCatName val="0"/>
          <c:showSerName val="0"/>
          <c:showPercent val="0"/>
          <c:showBubbleSize val="0"/>
        </c:dLbls>
        <c:marker val="1"/>
        <c:smooth val="0"/>
        <c:axId val="600728424"/>
        <c:axId val="600729208"/>
      </c:lineChart>
      <c:dateAx>
        <c:axId val="600728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729208"/>
        <c:crosses val="autoZero"/>
        <c:auto val="0"/>
        <c:lblOffset val="50"/>
        <c:baseTimeUnit val="months"/>
        <c:majorUnit val="6"/>
        <c:majorTimeUnit val="months"/>
      </c:dateAx>
      <c:valAx>
        <c:axId val="600729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284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USD!$H$1533:$H$1541</c:f>
              <c:numCache>
                <c:formatCode>dd/mm/yyyy;@</c:formatCode>
                <c:ptCount val="9"/>
                <c:pt idx="0">
                  <c:v>43455</c:v>
                </c:pt>
                <c:pt idx="1">
                  <c:v>43545</c:v>
                </c:pt>
                <c:pt idx="2">
                  <c:v>43637</c:v>
                </c:pt>
                <c:pt idx="3">
                  <c:v>43731</c:v>
                </c:pt>
                <c:pt idx="4">
                  <c:v>43822</c:v>
                </c:pt>
                <c:pt idx="5">
                  <c:v>43913</c:v>
                </c:pt>
                <c:pt idx="6">
                  <c:v>44004</c:v>
                </c:pt>
                <c:pt idx="7">
                  <c:v>44095</c:v>
                </c:pt>
                <c:pt idx="8">
                  <c:v>44186</c:v>
                </c:pt>
              </c:numCache>
            </c:numRef>
          </c:cat>
          <c:val>
            <c:numRef>
              <c:f>USD!$M$1533:$M$1541</c:f>
              <c:numCache>
                <c:formatCode>#,##0.00</c:formatCode>
                <c:ptCount val="9"/>
                <c:pt idx="0">
                  <c:v>-170000</c:v>
                </c:pt>
                <c:pt idx="1">
                  <c:v>25022.602739726026</c:v>
                </c:pt>
                <c:pt idx="2">
                  <c:v>24624.383561643837</c:v>
                </c:pt>
                <c:pt idx="3">
                  <c:v>24205.205479452055</c:v>
                </c:pt>
                <c:pt idx="4">
                  <c:v>23634.075342465752</c:v>
                </c:pt>
                <c:pt idx="5">
                  <c:v>23157.260273972603</c:v>
                </c:pt>
                <c:pt idx="6">
                  <c:v>22680.445205479453</c:v>
                </c:pt>
                <c:pt idx="7">
                  <c:v>22203.630136986303</c:v>
                </c:pt>
                <c:pt idx="8">
                  <c:v>21726.81506849315</c:v>
                </c:pt>
              </c:numCache>
            </c:numRef>
          </c:val>
          <c:extLst>
            <c:ext xmlns:c16="http://schemas.microsoft.com/office/drawing/2014/chart" uri="{C3380CC4-5D6E-409C-BE32-E72D297353CC}">
              <c16:uniqueId val="{00000000-8B74-4335-831E-E4DF5AC93B12}"/>
            </c:ext>
          </c:extLst>
        </c:ser>
        <c:dLbls>
          <c:showLegendKey val="0"/>
          <c:showVal val="0"/>
          <c:showCatName val="0"/>
          <c:showSerName val="0"/>
          <c:showPercent val="0"/>
          <c:showBubbleSize val="0"/>
        </c:dLbls>
        <c:gapWidth val="0"/>
        <c:axId val="634088168"/>
        <c:axId val="634078760"/>
      </c:barChart>
      <c:lineChart>
        <c:grouping val="standard"/>
        <c:varyColors val="0"/>
        <c:ser>
          <c:idx val="1"/>
          <c:order val="1"/>
          <c:tx>
            <c:v>Acumulado</c:v>
          </c:tx>
          <c:spPr>
            <a:ln w="28575" cap="rnd">
              <a:solidFill>
                <a:schemeClr val="accent2"/>
              </a:solidFill>
              <a:round/>
            </a:ln>
            <a:effectLst/>
          </c:spPr>
          <c:marker>
            <c:symbol val="none"/>
          </c:marker>
          <c:val>
            <c:numRef>
              <c:f>USD!$O$1386:$O$1394</c:f>
              <c:numCache>
                <c:formatCode>#,##0.00</c:formatCode>
                <c:ptCount val="9"/>
                <c:pt idx="0">
                  <c:v>-170000</c:v>
                </c:pt>
                <c:pt idx="1">
                  <c:v>-144977.39726027398</c:v>
                </c:pt>
                <c:pt idx="2">
                  <c:v>-120353.01369863015</c:v>
                </c:pt>
                <c:pt idx="3">
                  <c:v>-96147.8082191781</c:v>
                </c:pt>
                <c:pt idx="4">
                  <c:v>-72513.73287671234</c:v>
                </c:pt>
                <c:pt idx="5">
                  <c:v>-49356.472602739741</c:v>
                </c:pt>
                <c:pt idx="6">
                  <c:v>-26676.027397260288</c:v>
                </c:pt>
                <c:pt idx="7">
                  <c:v>-4472.397260273985</c:v>
                </c:pt>
                <c:pt idx="8">
                  <c:v>17254.417808219165</c:v>
                </c:pt>
              </c:numCache>
            </c:numRef>
          </c:val>
          <c:smooth val="0"/>
          <c:extLst>
            <c:ext xmlns:c16="http://schemas.microsoft.com/office/drawing/2014/chart" uri="{C3380CC4-5D6E-409C-BE32-E72D297353CC}">
              <c16:uniqueId val="{00000001-8B74-4335-831E-E4DF5AC93B12}"/>
            </c:ext>
          </c:extLst>
        </c:ser>
        <c:dLbls>
          <c:showLegendKey val="0"/>
          <c:showVal val="0"/>
          <c:showCatName val="0"/>
          <c:showSerName val="0"/>
          <c:showPercent val="0"/>
          <c:showBubbleSize val="0"/>
        </c:dLbls>
        <c:marker val="1"/>
        <c:smooth val="0"/>
        <c:axId val="634088168"/>
        <c:axId val="634078760"/>
      </c:lineChart>
      <c:dateAx>
        <c:axId val="634088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78760"/>
        <c:crosses val="autoZero"/>
        <c:auto val="0"/>
        <c:lblOffset val="50"/>
        <c:baseTimeUnit val="months"/>
        <c:majorUnit val="6"/>
        <c:majorTimeUnit val="months"/>
      </c:dateAx>
      <c:valAx>
        <c:axId val="6340787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881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5331567198145E-2"/>
          <c:y val="6.1984486514169407E-2"/>
          <c:w val="0.69822873832666965"/>
          <c:h val="0.87603102697166113"/>
        </c:manualLayout>
      </c:layout>
      <c:barChart>
        <c:barDir val="col"/>
        <c:grouping val="clustered"/>
        <c:varyColors val="0"/>
        <c:ser>
          <c:idx val="0"/>
          <c:order val="0"/>
          <c:tx>
            <c:v>Flujo de Fondos</c:v>
          </c:tx>
          <c:spPr>
            <a:solidFill>
              <a:srgbClr val="009999"/>
            </a:solidFill>
            <a:ln>
              <a:solidFill>
                <a:srgbClr val="009999"/>
              </a:solidFill>
            </a:ln>
            <a:effectLst/>
          </c:spPr>
          <c:invertIfNegative val="0"/>
          <c:cat>
            <c:numRef>
              <c:f>USD!$H$965:$H$988</c:f>
              <c:numCache>
                <c:formatCode>dd/mm/yyyy;@</c:formatCode>
                <c:ptCount val="24"/>
                <c:pt idx="0">
                  <c:v>43349</c:v>
                </c:pt>
                <c:pt idx="1">
                  <c:v>43440</c:v>
                </c:pt>
                <c:pt idx="2">
                  <c:v>43530</c:v>
                </c:pt>
                <c:pt idx="3">
                  <c:v>43622</c:v>
                </c:pt>
                <c:pt idx="4">
                  <c:v>43714</c:v>
                </c:pt>
                <c:pt idx="5">
                  <c:v>43805</c:v>
                </c:pt>
                <c:pt idx="6">
                  <c:v>43896</c:v>
                </c:pt>
                <c:pt idx="7">
                  <c:v>44154</c:v>
                </c:pt>
                <c:pt idx="8">
                  <c:v>44185</c:v>
                </c:pt>
                <c:pt idx="9">
                  <c:v>44215</c:v>
                </c:pt>
                <c:pt idx="10">
                  <c:v>44245</c:v>
                </c:pt>
                <c:pt idx="11">
                  <c:v>44276</c:v>
                </c:pt>
                <c:pt idx="12">
                  <c:v>44306</c:v>
                </c:pt>
                <c:pt idx="13">
                  <c:v>44336</c:v>
                </c:pt>
                <c:pt idx="14">
                  <c:v>44367</c:v>
                </c:pt>
                <c:pt idx="15">
                  <c:v>44397</c:v>
                </c:pt>
                <c:pt idx="16">
                  <c:v>44427</c:v>
                </c:pt>
                <c:pt idx="17">
                  <c:v>44459</c:v>
                </c:pt>
                <c:pt idx="18">
                  <c:v>44489</c:v>
                </c:pt>
                <c:pt idx="19">
                  <c:v>44521</c:v>
                </c:pt>
                <c:pt idx="20">
                  <c:v>44551</c:v>
                </c:pt>
                <c:pt idx="21">
                  <c:v>44581</c:v>
                </c:pt>
                <c:pt idx="22">
                  <c:v>44612</c:v>
                </c:pt>
                <c:pt idx="23">
                  <c:v>44642</c:v>
                </c:pt>
              </c:numCache>
            </c:numRef>
          </c:cat>
          <c:val>
            <c:numRef>
              <c:f>USD!$M$965:$M$988</c:f>
              <c:numCache>
                <c:formatCode>#,##0.00</c:formatCode>
                <c:ptCount val="24"/>
                <c:pt idx="0">
                  <c:v>-1168335</c:v>
                </c:pt>
                <c:pt idx="1">
                  <c:v>138101.99837671232</c:v>
                </c:pt>
                <c:pt idx="2">
                  <c:v>134294.25057041098</c:v>
                </c:pt>
                <c:pt idx="3">
                  <c:v>131681.57182964386</c:v>
                </c:pt>
                <c:pt idx="4">
                  <c:v>128247.29430953425</c:v>
                </c:pt>
                <c:pt idx="5">
                  <c:v>124514.20471019179</c:v>
                </c:pt>
                <c:pt idx="6">
                  <c:v>121117.25629356164</c:v>
                </c:pt>
                <c:pt idx="7">
                  <c:v>8147.6275769863023</c:v>
                </c:pt>
                <c:pt idx="8">
                  <c:v>8709.5329271232877</c:v>
                </c:pt>
                <c:pt idx="9">
                  <c:v>8428.580252054795</c:v>
                </c:pt>
                <c:pt idx="10">
                  <c:v>8428.580252054795</c:v>
                </c:pt>
                <c:pt idx="11">
                  <c:v>8709.5329271232877</c:v>
                </c:pt>
                <c:pt idx="12">
                  <c:v>8428.580252054795</c:v>
                </c:pt>
                <c:pt idx="13">
                  <c:v>61838.850252054792</c:v>
                </c:pt>
                <c:pt idx="14">
                  <c:v>61394.008573150684</c:v>
                </c:pt>
                <c:pt idx="15">
                  <c:v>60434.086986301365</c:v>
                </c:pt>
                <c:pt idx="16">
                  <c:v>59731.705353424652</c:v>
                </c:pt>
                <c:pt idx="17">
                  <c:v>59403.927301917807</c:v>
                </c:pt>
                <c:pt idx="18">
                  <c:v>58326.942087671232</c:v>
                </c:pt>
                <c:pt idx="19">
                  <c:v>57905.513151780819</c:v>
                </c:pt>
                <c:pt idx="20">
                  <c:v>56922.178821917805</c:v>
                </c:pt>
                <c:pt idx="21">
                  <c:v>56219.797189041092</c:v>
                </c:pt>
                <c:pt idx="22">
                  <c:v>55587.653741369861</c:v>
                </c:pt>
                <c:pt idx="23">
                  <c:v>54815.033923287665</c:v>
                </c:pt>
              </c:numCache>
            </c:numRef>
          </c:val>
          <c:extLst>
            <c:ext xmlns:c16="http://schemas.microsoft.com/office/drawing/2014/chart" uri="{C3380CC4-5D6E-409C-BE32-E72D297353CC}">
              <c16:uniqueId val="{00000000-2978-48EC-BD66-28B62C2DF330}"/>
            </c:ext>
          </c:extLst>
        </c:ser>
        <c:dLbls>
          <c:showLegendKey val="0"/>
          <c:showVal val="0"/>
          <c:showCatName val="0"/>
          <c:showSerName val="0"/>
          <c:showPercent val="0"/>
          <c:showBubbleSize val="0"/>
        </c:dLbls>
        <c:gapWidth val="50"/>
        <c:axId val="634099928"/>
        <c:axId val="634090128"/>
      </c:barChart>
      <c:lineChart>
        <c:grouping val="standard"/>
        <c:varyColors val="0"/>
        <c:ser>
          <c:idx val="1"/>
          <c:order val="1"/>
          <c:tx>
            <c:v>Acumulado</c:v>
          </c:tx>
          <c:spPr>
            <a:ln w="28575" cap="rnd">
              <a:solidFill>
                <a:schemeClr val="accent2"/>
              </a:solidFill>
              <a:round/>
            </a:ln>
            <a:effectLst/>
          </c:spPr>
          <c:marker>
            <c:symbol val="none"/>
          </c:marker>
          <c:val>
            <c:numRef>
              <c:f>USD!$O$851:$O$874</c:f>
              <c:numCache>
                <c:formatCode>#,##0.00</c:formatCode>
                <c:ptCount val="24"/>
                <c:pt idx="0">
                  <c:v>-1168335</c:v>
                </c:pt>
                <c:pt idx="1">
                  <c:v>-1030233.0016232877</c:v>
                </c:pt>
                <c:pt idx="2">
                  <c:v>-895938.7510528767</c:v>
                </c:pt>
                <c:pt idx="3">
                  <c:v>-764257.1792232329</c:v>
                </c:pt>
                <c:pt idx="4">
                  <c:v>-636009.88491369865</c:v>
                </c:pt>
                <c:pt idx="5">
                  <c:v>-511495.68020350684</c:v>
                </c:pt>
                <c:pt idx="6">
                  <c:v>-390378.42390994518</c:v>
                </c:pt>
                <c:pt idx="7">
                  <c:v>-382230.79633295885</c:v>
                </c:pt>
                <c:pt idx="8">
                  <c:v>-373521.26340583555</c:v>
                </c:pt>
                <c:pt idx="9">
                  <c:v>-365092.68315378076</c:v>
                </c:pt>
                <c:pt idx="10">
                  <c:v>-356664.10290172597</c:v>
                </c:pt>
                <c:pt idx="11">
                  <c:v>-347954.56997460267</c:v>
                </c:pt>
                <c:pt idx="12">
                  <c:v>-339525.98972254788</c:v>
                </c:pt>
                <c:pt idx="13">
                  <c:v>-277687.13947049307</c:v>
                </c:pt>
                <c:pt idx="14">
                  <c:v>-216293.1308973424</c:v>
                </c:pt>
                <c:pt idx="15">
                  <c:v>-155859.04391104105</c:v>
                </c:pt>
                <c:pt idx="16">
                  <c:v>-96127.3385576164</c:v>
                </c:pt>
                <c:pt idx="17">
                  <c:v>-36723.411255698593</c:v>
                </c:pt>
                <c:pt idx="18">
                  <c:v>21603.530831972639</c:v>
                </c:pt>
                <c:pt idx="19">
                  <c:v>79509.04398375345</c:v>
                </c:pt>
                <c:pt idx="20">
                  <c:v>136431.22280567125</c:v>
                </c:pt>
                <c:pt idx="21">
                  <c:v>192651.01999471235</c:v>
                </c:pt>
                <c:pt idx="22">
                  <c:v>248238.67373608222</c:v>
                </c:pt>
                <c:pt idx="23">
                  <c:v>303053.70765936986</c:v>
                </c:pt>
              </c:numCache>
            </c:numRef>
          </c:val>
          <c:smooth val="0"/>
          <c:extLst>
            <c:ext xmlns:c16="http://schemas.microsoft.com/office/drawing/2014/chart" uri="{C3380CC4-5D6E-409C-BE32-E72D297353CC}">
              <c16:uniqueId val="{00000001-2978-48EC-BD66-28B62C2DF330}"/>
            </c:ext>
          </c:extLst>
        </c:ser>
        <c:dLbls>
          <c:showLegendKey val="0"/>
          <c:showVal val="0"/>
          <c:showCatName val="0"/>
          <c:showSerName val="0"/>
          <c:showPercent val="0"/>
          <c:showBubbleSize val="0"/>
        </c:dLbls>
        <c:marker val="1"/>
        <c:smooth val="0"/>
        <c:axId val="634099928"/>
        <c:axId val="634090128"/>
      </c:lineChart>
      <c:dateAx>
        <c:axId val="634099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0128"/>
        <c:crosses val="autoZero"/>
        <c:auto val="0"/>
        <c:lblOffset val="50"/>
        <c:baseTimeUnit val="months"/>
      </c:dateAx>
      <c:valAx>
        <c:axId val="634090128"/>
        <c:scaling>
          <c:orientation val="minMax"/>
          <c:max val="400000"/>
          <c:min val="-12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928"/>
        <c:crosses val="autoZero"/>
        <c:crossBetween val="between"/>
      </c:valAx>
      <c:spPr>
        <a:noFill/>
        <a:ln>
          <a:noFill/>
        </a:ln>
        <a:effectLst/>
      </c:spPr>
    </c:plotArea>
    <c:legend>
      <c:legendPos val="r"/>
      <c:layout>
        <c:manualLayout>
          <c:xMode val="edge"/>
          <c:yMode val="edge"/>
          <c:x val="0.80533296187878667"/>
          <c:y val="4.848041252068868E-2"/>
          <c:w val="0.19241397297391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6103-4B01-BB2D-ABA0E215DE77}"/>
            </c:ext>
          </c:extLst>
        </c:ser>
        <c:dLbls>
          <c:showLegendKey val="0"/>
          <c:showVal val="0"/>
          <c:showCatName val="0"/>
          <c:showSerName val="0"/>
          <c:showPercent val="0"/>
          <c:showBubbleSize val="0"/>
        </c:dLbls>
        <c:gapWidth val="0"/>
        <c:axId val="634090912"/>
        <c:axId val="634096792"/>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6103-4B01-BB2D-ABA0E215DE77}"/>
            </c:ext>
          </c:extLst>
        </c:ser>
        <c:dLbls>
          <c:showLegendKey val="0"/>
          <c:showVal val="0"/>
          <c:showCatName val="0"/>
          <c:showSerName val="0"/>
          <c:showPercent val="0"/>
          <c:showBubbleSize val="0"/>
        </c:dLbls>
        <c:marker val="1"/>
        <c:smooth val="0"/>
        <c:axId val="634090912"/>
        <c:axId val="634096792"/>
      </c:lineChart>
      <c:dateAx>
        <c:axId val="634090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792"/>
        <c:crosses val="autoZero"/>
        <c:auto val="0"/>
        <c:lblOffset val="50"/>
        <c:baseTimeUnit val="months"/>
        <c:majorUnit val="6"/>
        <c:majorTimeUnit val="months"/>
        <c:minorUnit val="2"/>
        <c:minorTimeUnit val="months"/>
      </c:dateAx>
      <c:valAx>
        <c:axId val="634096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0912"/>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9538-47C5-B646-136A7DD2AE60}"/>
            </c:ext>
          </c:extLst>
        </c:ser>
        <c:dLbls>
          <c:showLegendKey val="0"/>
          <c:showVal val="0"/>
          <c:showCatName val="0"/>
          <c:showSerName val="0"/>
          <c:showPercent val="0"/>
          <c:showBubbleSize val="0"/>
        </c:dLbls>
        <c:gapWidth val="50"/>
        <c:axId val="634100712"/>
        <c:axId val="634095224"/>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9538-47C5-B646-136A7DD2AE60}"/>
            </c:ext>
          </c:extLst>
        </c:ser>
        <c:dLbls>
          <c:showLegendKey val="0"/>
          <c:showVal val="0"/>
          <c:showCatName val="0"/>
          <c:showSerName val="0"/>
          <c:showPercent val="0"/>
          <c:showBubbleSize val="0"/>
        </c:dLbls>
        <c:marker val="1"/>
        <c:smooth val="0"/>
        <c:axId val="634100712"/>
        <c:axId val="634095224"/>
      </c:lineChart>
      <c:dateAx>
        <c:axId val="6341007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5224"/>
        <c:crosses val="autoZero"/>
        <c:auto val="0"/>
        <c:lblOffset val="50"/>
        <c:baseTimeUnit val="months"/>
        <c:majorUnit val="3"/>
        <c:majorTimeUnit val="months"/>
        <c:minorUnit val="2"/>
        <c:minorTimeUnit val="months"/>
      </c:dateAx>
      <c:valAx>
        <c:axId val="634095224"/>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0712"/>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99283250777074E-2"/>
          <c:y val="3.4069898197375235E-2"/>
          <c:w val="0.7236268220332969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USD!$H$87:$H$95</c:f>
              <c:numCache>
                <c:formatCode>dd/mm/yyyy;@</c:formatCode>
                <c:ptCount val="9"/>
                <c:pt idx="0">
                  <c:v>43031</c:v>
                </c:pt>
                <c:pt idx="1">
                  <c:v>43213</c:v>
                </c:pt>
                <c:pt idx="2">
                  <c:v>43396</c:v>
                </c:pt>
                <c:pt idx="3">
                  <c:v>43578</c:v>
                </c:pt>
                <c:pt idx="4">
                  <c:v>43761</c:v>
                </c:pt>
                <c:pt idx="5">
                  <c:v>43944</c:v>
                </c:pt>
                <c:pt idx="6">
                  <c:v>44127</c:v>
                </c:pt>
                <c:pt idx="7">
                  <c:v>44309</c:v>
                </c:pt>
                <c:pt idx="8">
                  <c:v>44492</c:v>
                </c:pt>
              </c:numCache>
            </c:numRef>
          </c:cat>
          <c:val>
            <c:numRef>
              <c:f>USD!$M$87:$M$95</c:f>
              <c:numCache>
                <c:formatCode>#,##0.00</c:formatCode>
                <c:ptCount val="9"/>
                <c:pt idx="0">
                  <c:v>-300000</c:v>
                </c:pt>
                <c:pt idx="1">
                  <c:v>8601.3698630136987</c:v>
                </c:pt>
                <c:pt idx="2">
                  <c:v>8648.6301369863013</c:v>
                </c:pt>
                <c:pt idx="3">
                  <c:v>8601.3698630136987</c:v>
                </c:pt>
                <c:pt idx="4">
                  <c:v>8648.6301369863013</c:v>
                </c:pt>
                <c:pt idx="5">
                  <c:v>8648.6301369863013</c:v>
                </c:pt>
                <c:pt idx="6">
                  <c:v>8648.6301369863013</c:v>
                </c:pt>
                <c:pt idx="7">
                  <c:v>8601.3698630136987</c:v>
                </c:pt>
                <c:pt idx="8">
                  <c:v>308648.63013698632</c:v>
                </c:pt>
              </c:numCache>
            </c:numRef>
          </c:val>
          <c:extLst>
            <c:ext xmlns:c16="http://schemas.microsoft.com/office/drawing/2014/chart" uri="{C3380CC4-5D6E-409C-BE32-E72D297353CC}">
              <c16:uniqueId val="{00000000-8CC3-4D33-BFB3-26C3B35B6F45}"/>
            </c:ext>
          </c:extLst>
        </c:ser>
        <c:dLbls>
          <c:showLegendKey val="0"/>
          <c:showVal val="0"/>
          <c:showCatName val="0"/>
          <c:showSerName val="0"/>
          <c:showPercent val="0"/>
          <c:showBubbleSize val="0"/>
        </c:dLbls>
        <c:gapWidth val="0"/>
        <c:axId val="634101888"/>
        <c:axId val="634096008"/>
      </c:barChart>
      <c:lineChart>
        <c:grouping val="standard"/>
        <c:varyColors val="0"/>
        <c:ser>
          <c:idx val="1"/>
          <c:order val="1"/>
          <c:tx>
            <c:v>Acumulado</c:v>
          </c:tx>
          <c:spPr>
            <a:ln w="28575" cap="rnd">
              <a:solidFill>
                <a:schemeClr val="accent2"/>
              </a:solidFill>
              <a:round/>
            </a:ln>
            <a:effectLst/>
          </c:spPr>
          <c:marker>
            <c:symbol val="none"/>
          </c:marker>
          <c:val>
            <c:numRef>
              <c:f>USD!$O$87:$O$95</c:f>
              <c:numCache>
                <c:formatCode>#,##0.00</c:formatCode>
                <c:ptCount val="9"/>
                <c:pt idx="0">
                  <c:v>-300000</c:v>
                </c:pt>
                <c:pt idx="1">
                  <c:v>-291398.63013698632</c:v>
                </c:pt>
                <c:pt idx="2">
                  <c:v>-282750</c:v>
                </c:pt>
                <c:pt idx="3">
                  <c:v>-274148.63013698632</c:v>
                </c:pt>
                <c:pt idx="4">
                  <c:v>-265500</c:v>
                </c:pt>
                <c:pt idx="5">
                  <c:v>-256851.36986301371</c:v>
                </c:pt>
                <c:pt idx="6">
                  <c:v>-248202.73972602742</c:v>
                </c:pt>
                <c:pt idx="7">
                  <c:v>-239601.36986301371</c:v>
                </c:pt>
                <c:pt idx="8">
                  <c:v>69047.260273972614</c:v>
                </c:pt>
              </c:numCache>
            </c:numRef>
          </c:val>
          <c:smooth val="0"/>
          <c:extLst>
            <c:ext xmlns:c16="http://schemas.microsoft.com/office/drawing/2014/chart" uri="{C3380CC4-5D6E-409C-BE32-E72D297353CC}">
              <c16:uniqueId val="{00000001-8CC3-4D33-BFB3-26C3B35B6F45}"/>
            </c:ext>
          </c:extLst>
        </c:ser>
        <c:dLbls>
          <c:showLegendKey val="0"/>
          <c:showVal val="0"/>
          <c:showCatName val="0"/>
          <c:showSerName val="0"/>
          <c:showPercent val="0"/>
          <c:showBubbleSize val="0"/>
        </c:dLbls>
        <c:marker val="1"/>
        <c:smooth val="0"/>
        <c:axId val="634101888"/>
        <c:axId val="634096008"/>
      </c:lineChart>
      <c:dateAx>
        <c:axId val="63410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6008"/>
        <c:crosses val="autoZero"/>
        <c:auto val="0"/>
        <c:lblOffset val="50"/>
        <c:baseTimeUnit val="months"/>
        <c:majorUnit val="6"/>
        <c:majorTimeUnit val="months"/>
        <c:minorUnit val="2"/>
        <c:minorTimeUnit val="months"/>
      </c:dateAx>
      <c:valAx>
        <c:axId val="634096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101888"/>
        <c:crosses val="autoZero"/>
        <c:crossBetween val="between"/>
      </c:valAx>
      <c:spPr>
        <a:noFill/>
        <a:ln>
          <a:noFill/>
        </a:ln>
        <a:effectLst/>
      </c:spPr>
    </c:plotArea>
    <c:legend>
      <c:legendPos val="r"/>
      <c:layout>
        <c:manualLayout>
          <c:xMode val="edge"/>
          <c:yMode val="edge"/>
          <c:x val="0.82597736917552544"/>
          <c:y val="5.9646253838257952E-2"/>
          <c:w val="0.17176948351476784"/>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USD!$H$1248:$H$1252</c:f>
              <c:numCache>
                <c:formatCode>dd/mm/yyyy;@</c:formatCode>
                <c:ptCount val="5"/>
                <c:pt idx="0">
                  <c:v>43276</c:v>
                </c:pt>
                <c:pt idx="1">
                  <c:v>43459</c:v>
                </c:pt>
                <c:pt idx="2">
                  <c:v>43641</c:v>
                </c:pt>
                <c:pt idx="3">
                  <c:v>43824</c:v>
                </c:pt>
                <c:pt idx="4">
                  <c:v>44007</c:v>
                </c:pt>
              </c:numCache>
            </c:numRef>
          </c:cat>
          <c:val>
            <c:numRef>
              <c:f>USD!$M$1248:$M$1252</c:f>
              <c:numCache>
                <c:formatCode>#,##0.00</c:formatCode>
                <c:ptCount val="5"/>
                <c:pt idx="0">
                  <c:v>-500000</c:v>
                </c:pt>
                <c:pt idx="1">
                  <c:v>143174.65753424657</c:v>
                </c:pt>
                <c:pt idx="2">
                  <c:v>138556.50684931508</c:v>
                </c:pt>
                <c:pt idx="3">
                  <c:v>134087.32876712328</c:v>
                </c:pt>
                <c:pt idx="4">
                  <c:v>129543.66438356164</c:v>
                </c:pt>
              </c:numCache>
            </c:numRef>
          </c:val>
          <c:extLst>
            <c:ext xmlns:c16="http://schemas.microsoft.com/office/drawing/2014/chart" uri="{C3380CC4-5D6E-409C-BE32-E72D297353CC}">
              <c16:uniqueId val="{00000000-1B13-4E2C-9BCF-322E731AB292}"/>
            </c:ext>
          </c:extLst>
        </c:ser>
        <c:dLbls>
          <c:showLegendKey val="0"/>
          <c:showVal val="0"/>
          <c:showCatName val="0"/>
          <c:showSerName val="0"/>
          <c:showPercent val="0"/>
          <c:showBubbleSize val="0"/>
        </c:dLbls>
        <c:gapWidth val="0"/>
        <c:axId val="634097968"/>
        <c:axId val="634100320"/>
      </c:barChart>
      <c:lineChart>
        <c:grouping val="standard"/>
        <c:varyColors val="0"/>
        <c:ser>
          <c:idx val="1"/>
          <c:order val="1"/>
          <c:tx>
            <c:v>Acumulado</c:v>
          </c:tx>
          <c:spPr>
            <a:ln w="28575" cap="rnd">
              <a:solidFill>
                <a:schemeClr val="accent2"/>
              </a:solidFill>
              <a:round/>
            </a:ln>
            <a:effectLst/>
          </c:spPr>
          <c:marker>
            <c:symbol val="none"/>
          </c:marker>
          <c:val>
            <c:numRef>
              <c:f>USD!$O$1108:$O$1112</c:f>
              <c:numCache>
                <c:formatCode>#,##0.00</c:formatCode>
                <c:ptCount val="5"/>
                <c:pt idx="0">
                  <c:v>-500000</c:v>
                </c:pt>
                <c:pt idx="1">
                  <c:v>-356825.34246575343</c:v>
                </c:pt>
                <c:pt idx="2">
                  <c:v>-218268.83561643836</c:v>
                </c:pt>
                <c:pt idx="3">
                  <c:v>-84181.506849315076</c:v>
                </c:pt>
                <c:pt idx="4">
                  <c:v>45362.157534246566</c:v>
                </c:pt>
              </c:numCache>
            </c:numRef>
          </c:val>
          <c:smooth val="0"/>
          <c:extLst>
            <c:ext xmlns:c16="http://schemas.microsoft.com/office/drawing/2014/chart" uri="{C3380CC4-5D6E-409C-BE32-E72D297353CC}">
              <c16:uniqueId val="{00000001-1B13-4E2C-9BCF-322E731AB292}"/>
            </c:ext>
          </c:extLst>
        </c:ser>
        <c:dLbls>
          <c:showLegendKey val="0"/>
          <c:showVal val="0"/>
          <c:showCatName val="0"/>
          <c:showSerName val="0"/>
          <c:showPercent val="0"/>
          <c:showBubbleSize val="0"/>
        </c:dLbls>
        <c:marker val="1"/>
        <c:smooth val="0"/>
        <c:axId val="634097968"/>
        <c:axId val="634100320"/>
      </c:lineChart>
      <c:dateAx>
        <c:axId val="6340979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100320"/>
        <c:crosses val="autoZero"/>
        <c:auto val="0"/>
        <c:lblOffset val="50"/>
        <c:baseTimeUnit val="months"/>
        <c:majorUnit val="6"/>
        <c:majorTimeUnit val="months"/>
      </c:dateAx>
      <c:valAx>
        <c:axId val="634100320"/>
        <c:scaling>
          <c:orientation val="minMax"/>
          <c:min val="-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796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3EA2-4EDD-9B06-DA153C76C936}"/>
            </c:ext>
          </c:extLst>
        </c:ser>
        <c:dLbls>
          <c:showLegendKey val="0"/>
          <c:showVal val="0"/>
          <c:showCatName val="0"/>
          <c:showSerName val="0"/>
          <c:showPercent val="0"/>
          <c:showBubbleSize val="0"/>
        </c:dLbls>
        <c:gapWidth val="50"/>
        <c:axId val="634099536"/>
        <c:axId val="634091304"/>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3EA2-4EDD-9B06-DA153C76C936}"/>
            </c:ext>
          </c:extLst>
        </c:ser>
        <c:dLbls>
          <c:showLegendKey val="0"/>
          <c:showVal val="0"/>
          <c:showCatName val="0"/>
          <c:showSerName val="0"/>
          <c:showPercent val="0"/>
          <c:showBubbleSize val="0"/>
        </c:dLbls>
        <c:marker val="1"/>
        <c:smooth val="0"/>
        <c:axId val="634099536"/>
        <c:axId val="634091304"/>
      </c:lineChart>
      <c:dateAx>
        <c:axId val="634099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34091304"/>
        <c:crosses val="autoZero"/>
        <c:auto val="0"/>
        <c:lblOffset val="50"/>
        <c:baseTimeUnit val="months"/>
        <c:majorUnit val="6"/>
        <c:majorTimeUnit val="months"/>
        <c:minorUnit val="2"/>
        <c:minorTimeUnit val="months"/>
      </c:dateAx>
      <c:valAx>
        <c:axId val="63409130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9536"/>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C8B6-4ED6-8D3C-C4CC7E956EEC}"/>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68791606790942E-2"/>
          <c:y val="6.7584060643419208E-2"/>
          <c:w val="0.67405758121975112"/>
          <c:h val="0.87603102697166113"/>
        </c:manualLayout>
      </c:layout>
      <c:barChart>
        <c:barDir val="col"/>
        <c:grouping val="clustered"/>
        <c:varyColors val="0"/>
        <c:ser>
          <c:idx val="0"/>
          <c:order val="0"/>
          <c:spPr>
            <a:solidFill>
              <a:schemeClr val="accent1"/>
            </a:solidFill>
            <a:ln>
              <a:noFill/>
            </a:ln>
            <a:effectLst/>
          </c:spPr>
          <c:invertIfNegative val="0"/>
          <c:cat>
            <c:numRef>
              <c:f>USD!$H$17:$H$21</c:f>
              <c:numCache>
                <c:formatCode>dd/mm/yyyy;@</c:formatCode>
                <c:ptCount val="5"/>
                <c:pt idx="0">
                  <c:v>45177</c:v>
                </c:pt>
                <c:pt idx="1">
                  <c:v>45359</c:v>
                </c:pt>
                <c:pt idx="2">
                  <c:v>45543</c:v>
                </c:pt>
                <c:pt idx="3">
                  <c:v>45724</c:v>
                </c:pt>
                <c:pt idx="4">
                  <c:v>45908</c:v>
                </c:pt>
              </c:numCache>
            </c:numRef>
          </c:cat>
          <c:val>
            <c:numRef>
              <c:f>USD!$M$17:$M$21</c:f>
              <c:numCache>
                <c:formatCode>#,##0.00</c:formatCode>
                <c:ptCount val="5"/>
                <c:pt idx="0">
                  <c:v>-200000</c:v>
                </c:pt>
                <c:pt idx="1">
                  <c:v>50000</c:v>
                </c:pt>
                <c:pt idx="2">
                  <c:v>50000</c:v>
                </c:pt>
                <c:pt idx="3">
                  <c:v>50000</c:v>
                </c:pt>
                <c:pt idx="4">
                  <c:v>50000</c:v>
                </c:pt>
              </c:numCache>
            </c:numRef>
          </c:val>
          <c:extLst>
            <c:ext xmlns:c16="http://schemas.microsoft.com/office/drawing/2014/chart" uri="{C3380CC4-5D6E-409C-BE32-E72D297353CC}">
              <c16:uniqueId val="{00000000-8558-4486-B243-43A573446FB5}"/>
            </c:ext>
          </c:extLst>
        </c:ser>
        <c:dLbls>
          <c:showLegendKey val="0"/>
          <c:showVal val="0"/>
          <c:showCatName val="0"/>
          <c:showSerName val="0"/>
          <c:showPercent val="0"/>
          <c:showBubbleSize val="0"/>
        </c:dLbls>
        <c:gapWidth val="50"/>
        <c:axId val="600074392"/>
        <c:axId val="600075176"/>
      </c:bar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9.5751094887386076E-2"/>
          <c:h val="9.44969589223023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USD!$H$621:$H$629</c:f>
              <c:numCache>
                <c:formatCode>dd/mm/yyyy;@</c:formatCode>
                <c:ptCount val="9"/>
                <c:pt idx="0">
                  <c:v>42705</c:v>
                </c:pt>
                <c:pt idx="1">
                  <c:v>42887</c:v>
                </c:pt>
                <c:pt idx="2">
                  <c:v>43070</c:v>
                </c:pt>
                <c:pt idx="3">
                  <c:v>43252</c:v>
                </c:pt>
                <c:pt idx="4">
                  <c:v>43437</c:v>
                </c:pt>
                <c:pt idx="5">
                  <c:v>43619</c:v>
                </c:pt>
                <c:pt idx="6">
                  <c:v>43801</c:v>
                </c:pt>
                <c:pt idx="7">
                  <c:v>43983</c:v>
                </c:pt>
                <c:pt idx="8">
                  <c:v>44166</c:v>
                </c:pt>
              </c:numCache>
            </c:numRef>
          </c:cat>
          <c:val>
            <c:numRef>
              <c:f>USD!$M$621:$M$629</c:f>
              <c:numCache>
                <c:formatCode>#,##0.00</c:formatCode>
                <c:ptCount val="9"/>
                <c:pt idx="0">
                  <c:v>-5000000</c:v>
                </c:pt>
                <c:pt idx="1">
                  <c:v>186986.30136986301</c:v>
                </c:pt>
                <c:pt idx="2">
                  <c:v>188013.69863013696</c:v>
                </c:pt>
                <c:pt idx="3">
                  <c:v>936986.30136986298</c:v>
                </c:pt>
                <c:pt idx="4">
                  <c:v>911558.21917808219</c:v>
                </c:pt>
                <c:pt idx="5">
                  <c:v>880890.41095890407</c:v>
                </c:pt>
                <c:pt idx="6">
                  <c:v>852842.46575342468</c:v>
                </c:pt>
                <c:pt idx="7">
                  <c:v>1074794.5205479453</c:v>
                </c:pt>
                <c:pt idx="8">
                  <c:v>1037602.7397260274</c:v>
                </c:pt>
              </c:numCache>
            </c:numRef>
          </c:val>
          <c:extLst>
            <c:ext xmlns:c16="http://schemas.microsoft.com/office/drawing/2014/chart" uri="{C3380CC4-5D6E-409C-BE32-E72D297353CC}">
              <c16:uniqueId val="{00000000-CC23-4FA7-8FA3-4F6DB40D75AE}"/>
            </c:ext>
          </c:extLst>
        </c:ser>
        <c:dLbls>
          <c:showLegendKey val="0"/>
          <c:showVal val="0"/>
          <c:showCatName val="0"/>
          <c:showSerName val="0"/>
          <c:showPercent val="0"/>
          <c:showBubbleSize val="0"/>
        </c:dLbls>
        <c:gapWidth val="0"/>
        <c:axId val="624790160"/>
        <c:axId val="624786240"/>
      </c:barChart>
      <c:lineChart>
        <c:grouping val="standard"/>
        <c:varyColors val="0"/>
        <c:ser>
          <c:idx val="1"/>
          <c:order val="1"/>
          <c:tx>
            <c:v>Acumulado</c:v>
          </c:tx>
          <c:spPr>
            <a:ln w="28575" cap="rnd">
              <a:solidFill>
                <a:schemeClr val="accent2"/>
              </a:solidFill>
              <a:round/>
            </a:ln>
            <a:effectLst/>
          </c:spPr>
          <c:marker>
            <c:symbol val="none"/>
          </c:marker>
          <c:val>
            <c:numRef>
              <c:f>USD!$O$544:$O$552</c:f>
              <c:numCache>
                <c:formatCode>#,##0.00</c:formatCode>
                <c:ptCount val="9"/>
                <c:pt idx="0">
                  <c:v>-5000000</c:v>
                </c:pt>
                <c:pt idx="1">
                  <c:v>-4813013.6986301374</c:v>
                </c:pt>
                <c:pt idx="2">
                  <c:v>-4625000</c:v>
                </c:pt>
                <c:pt idx="3">
                  <c:v>-3688013.6986301369</c:v>
                </c:pt>
                <c:pt idx="4">
                  <c:v>-2776455.4794520549</c:v>
                </c:pt>
                <c:pt idx="5">
                  <c:v>-1895565.0684931509</c:v>
                </c:pt>
                <c:pt idx="6">
                  <c:v>-1042722.6027397262</c:v>
                </c:pt>
                <c:pt idx="7">
                  <c:v>32071.917808219092</c:v>
                </c:pt>
                <c:pt idx="8">
                  <c:v>1069674.6575342463</c:v>
                </c:pt>
              </c:numCache>
            </c:numRef>
          </c:val>
          <c:smooth val="0"/>
          <c:extLst>
            <c:ext xmlns:c16="http://schemas.microsoft.com/office/drawing/2014/chart" uri="{C3380CC4-5D6E-409C-BE32-E72D297353CC}">
              <c16:uniqueId val="{00000001-CC23-4FA7-8FA3-4F6DB40D75AE}"/>
            </c:ext>
          </c:extLst>
        </c:ser>
        <c:dLbls>
          <c:showLegendKey val="0"/>
          <c:showVal val="0"/>
          <c:showCatName val="0"/>
          <c:showSerName val="0"/>
          <c:showPercent val="0"/>
          <c:showBubbleSize val="0"/>
        </c:dLbls>
        <c:marker val="1"/>
        <c:smooth val="0"/>
        <c:axId val="624790160"/>
        <c:axId val="624786240"/>
      </c:lineChart>
      <c:dateAx>
        <c:axId val="6247901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86240"/>
        <c:crosses val="autoZero"/>
        <c:auto val="0"/>
        <c:lblOffset val="50"/>
        <c:baseTimeUnit val="months"/>
        <c:majorUnit val="6"/>
        <c:majorTimeUnit val="months"/>
      </c:dateAx>
      <c:valAx>
        <c:axId val="624786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9016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ARS!$H$262:$H$274</c:f>
              <c:numCache>
                <c:formatCode>dd/mm/yyyy;@</c:formatCode>
                <c:ptCount val="13"/>
                <c:pt idx="0">
                  <c:v>43354</c:v>
                </c:pt>
                <c:pt idx="1">
                  <c:v>43445</c:v>
                </c:pt>
                <c:pt idx="2">
                  <c:v>43535</c:v>
                </c:pt>
                <c:pt idx="3">
                  <c:v>43627</c:v>
                </c:pt>
                <c:pt idx="4">
                  <c:v>43719</c:v>
                </c:pt>
                <c:pt idx="5">
                  <c:v>43810</c:v>
                </c:pt>
                <c:pt idx="6">
                  <c:v>43901</c:v>
                </c:pt>
                <c:pt idx="7">
                  <c:v>43993</c:v>
                </c:pt>
                <c:pt idx="8">
                  <c:v>44085</c:v>
                </c:pt>
                <c:pt idx="9">
                  <c:v>44176</c:v>
                </c:pt>
                <c:pt idx="10">
                  <c:v>44266</c:v>
                </c:pt>
                <c:pt idx="11">
                  <c:v>44358</c:v>
                </c:pt>
                <c:pt idx="12">
                  <c:v>44452</c:v>
                </c:pt>
              </c:numCache>
            </c:numRef>
          </c:cat>
          <c:val>
            <c:numRef>
              <c:f>ARS!$M$262:$M$274</c:f>
              <c:numCache>
                <c:formatCode>#,##0.00</c:formatCode>
                <c:ptCount val="13"/>
                <c:pt idx="0">
                  <c:v>-3000000</c:v>
                </c:pt>
                <c:pt idx="1">
                  <c:v>280583.33333333331</c:v>
                </c:pt>
                <c:pt idx="2">
                  <c:v>277500.00000000006</c:v>
                </c:pt>
                <c:pt idx="3">
                  <c:v>283666.66666666669</c:v>
                </c:pt>
                <c:pt idx="4">
                  <c:v>283666.66666666669</c:v>
                </c:pt>
                <c:pt idx="5">
                  <c:v>655583.33333333326</c:v>
                </c:pt>
                <c:pt idx="6">
                  <c:v>620510.41666666663</c:v>
                </c:pt>
                <c:pt idx="7">
                  <c:v>587750</c:v>
                </c:pt>
                <c:pt idx="8">
                  <c:v>550644.53125</c:v>
                </c:pt>
                <c:pt idx="9">
                  <c:v>515291.66666666663</c:v>
                </c:pt>
                <c:pt idx="10">
                  <c:v>479062.5</c:v>
                </c:pt>
                <c:pt idx="11">
                  <c:v>445916.66666666669</c:v>
                </c:pt>
                <c:pt idx="12">
                  <c:v>411229.16666666669</c:v>
                </c:pt>
              </c:numCache>
            </c:numRef>
          </c:val>
          <c:extLst>
            <c:ext xmlns:c16="http://schemas.microsoft.com/office/drawing/2014/chart" uri="{C3380CC4-5D6E-409C-BE32-E72D297353CC}">
              <c16:uniqueId val="{00000000-1674-4206-8533-2349589C8537}"/>
            </c:ext>
          </c:extLst>
        </c:ser>
        <c:dLbls>
          <c:showLegendKey val="0"/>
          <c:showVal val="0"/>
          <c:showCatName val="0"/>
          <c:showSerName val="0"/>
          <c:showPercent val="0"/>
          <c:showBubbleSize val="0"/>
        </c:dLbls>
        <c:gapWidth val="0"/>
        <c:axId val="600731168"/>
        <c:axId val="605825000"/>
      </c:barChart>
      <c:lineChart>
        <c:grouping val="standard"/>
        <c:varyColors val="0"/>
        <c:ser>
          <c:idx val="1"/>
          <c:order val="1"/>
          <c:tx>
            <c:v>Acumulado</c:v>
          </c:tx>
          <c:spPr>
            <a:ln w="28575" cap="rnd">
              <a:solidFill>
                <a:schemeClr val="accent2"/>
              </a:solidFill>
              <a:round/>
            </a:ln>
            <a:effectLst/>
          </c:spPr>
          <c:marker>
            <c:symbol val="none"/>
          </c:marker>
          <c:val>
            <c:numRef>
              <c:f>ARS!$O$224:$O$236</c:f>
              <c:numCache>
                <c:formatCode>#,##0.00</c:formatCode>
                <c:ptCount val="13"/>
                <c:pt idx="0">
                  <c:v>-3000000</c:v>
                </c:pt>
                <c:pt idx="1">
                  <c:v>-2719416.6666666665</c:v>
                </c:pt>
                <c:pt idx="2">
                  <c:v>-2441916.6666666665</c:v>
                </c:pt>
                <c:pt idx="3">
                  <c:v>-2158250</c:v>
                </c:pt>
                <c:pt idx="4">
                  <c:v>-1874583.3333333333</c:v>
                </c:pt>
                <c:pt idx="5">
                  <c:v>-1219000</c:v>
                </c:pt>
                <c:pt idx="6">
                  <c:v>-598489.58333333337</c:v>
                </c:pt>
                <c:pt idx="7">
                  <c:v>-10739.583333333372</c:v>
                </c:pt>
                <c:pt idx="8">
                  <c:v>539904.94791666663</c:v>
                </c:pt>
                <c:pt idx="9">
                  <c:v>1055196.6145833333</c:v>
                </c:pt>
                <c:pt idx="10">
                  <c:v>1534259.1145833333</c:v>
                </c:pt>
                <c:pt idx="11">
                  <c:v>1980175.78125</c:v>
                </c:pt>
                <c:pt idx="12">
                  <c:v>2391404.9479166665</c:v>
                </c:pt>
              </c:numCache>
            </c:numRef>
          </c:val>
          <c:smooth val="0"/>
          <c:extLst>
            <c:ext xmlns:c16="http://schemas.microsoft.com/office/drawing/2014/chart" uri="{C3380CC4-5D6E-409C-BE32-E72D297353CC}">
              <c16:uniqueId val="{00000001-1674-4206-8533-2349589C8537}"/>
            </c:ext>
          </c:extLst>
        </c:ser>
        <c:dLbls>
          <c:showLegendKey val="0"/>
          <c:showVal val="0"/>
          <c:showCatName val="0"/>
          <c:showSerName val="0"/>
          <c:showPercent val="0"/>
          <c:showBubbleSize val="0"/>
        </c:dLbls>
        <c:marker val="1"/>
        <c:smooth val="0"/>
        <c:axId val="600731168"/>
        <c:axId val="605825000"/>
      </c:lineChart>
      <c:dateAx>
        <c:axId val="600731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5000"/>
        <c:crosses val="autoZero"/>
        <c:auto val="0"/>
        <c:lblOffset val="50"/>
        <c:baseTimeUnit val="months"/>
        <c:majorUnit val="6"/>
        <c:majorTimeUnit val="months"/>
      </c:dateAx>
      <c:valAx>
        <c:axId val="60582500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731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'Ej-ARS'!$H$15:$H$21</c:f>
              <c:numCache>
                <c:formatCode>dd/mm/yyyy;@</c:formatCode>
                <c:ptCount val="7"/>
                <c:pt idx="0">
                  <c:v>43097</c:v>
                </c:pt>
                <c:pt idx="1">
                  <c:v>43279</c:v>
                </c:pt>
                <c:pt idx="2">
                  <c:v>43462</c:v>
                </c:pt>
                <c:pt idx="3">
                  <c:v>43644</c:v>
                </c:pt>
                <c:pt idx="4">
                  <c:v>43829</c:v>
                </c:pt>
                <c:pt idx="5">
                  <c:v>44011</c:v>
                </c:pt>
                <c:pt idx="6">
                  <c:v>44193</c:v>
                </c:pt>
              </c:numCache>
            </c:numRef>
          </c:cat>
          <c:val>
            <c:numRef>
              <c:f>'Ej-ARS'!$M$15:$M$21</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2F29-468E-9705-1E3BE63FA4EA}"/>
            </c:ext>
          </c:extLst>
        </c:ser>
        <c:dLbls>
          <c:showLegendKey val="0"/>
          <c:showVal val="0"/>
          <c:showCatName val="0"/>
          <c:showSerName val="0"/>
          <c:showPercent val="0"/>
          <c:showBubbleSize val="0"/>
        </c:dLbls>
        <c:gapWidth val="0"/>
        <c:axId val="634094048"/>
        <c:axId val="634095616"/>
      </c:barChart>
      <c:lineChart>
        <c:grouping val="standard"/>
        <c:varyColors val="0"/>
        <c:ser>
          <c:idx val="1"/>
          <c:order val="1"/>
          <c:tx>
            <c:v>Acumulado</c:v>
          </c:tx>
          <c:spPr>
            <a:ln w="28575" cap="rnd">
              <a:solidFill>
                <a:srgbClr val="00CC99"/>
              </a:solidFill>
              <a:round/>
            </a:ln>
            <a:effectLst/>
          </c:spPr>
          <c:marker>
            <c:symbol val="none"/>
          </c:marker>
          <c:val>
            <c:numRef>
              <c:f>'Ej-ARS'!$O$15:$O$21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2F29-468E-9705-1E3BE63FA4EA}"/>
            </c:ext>
          </c:extLst>
        </c:ser>
        <c:dLbls>
          <c:showLegendKey val="0"/>
          <c:showVal val="0"/>
          <c:showCatName val="0"/>
          <c:showSerName val="0"/>
          <c:showPercent val="0"/>
          <c:showBubbleSize val="0"/>
        </c:dLbls>
        <c:marker val="1"/>
        <c:smooth val="0"/>
        <c:axId val="634094048"/>
        <c:axId val="634095616"/>
      </c:lineChart>
      <c:dateAx>
        <c:axId val="6340940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5616"/>
        <c:crosses val="autoZero"/>
        <c:auto val="0"/>
        <c:lblOffset val="50"/>
        <c:baseTimeUnit val="months"/>
        <c:majorUnit val="6"/>
        <c:majorTimeUnit val="months"/>
      </c:dateAx>
      <c:valAx>
        <c:axId val="634095616"/>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4048"/>
        <c:crosses val="autoZero"/>
        <c:crossBetween val="between"/>
        <c:majorUnit val="5000000"/>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'Ej-USD'!$H$15:$H$21</c:f>
              <c:numCache>
                <c:formatCode>dd/mm/yyyy;@</c:formatCode>
                <c:ptCount val="7"/>
                <c:pt idx="0">
                  <c:v>43217</c:v>
                </c:pt>
                <c:pt idx="1">
                  <c:v>43402</c:v>
                </c:pt>
                <c:pt idx="2">
                  <c:v>43584</c:v>
                </c:pt>
                <c:pt idx="3">
                  <c:v>43766</c:v>
                </c:pt>
                <c:pt idx="4">
                  <c:v>43948</c:v>
                </c:pt>
                <c:pt idx="5">
                  <c:v>44131</c:v>
                </c:pt>
                <c:pt idx="6">
                  <c:v>44313</c:v>
                </c:pt>
              </c:numCache>
            </c:numRef>
          </c:cat>
          <c:val>
            <c:numRef>
              <c:f>'Ej-USD'!$M$15:$M$21</c:f>
              <c:numCache>
                <c:formatCode>#,##0.00</c:formatCode>
                <c:ptCount val="7"/>
                <c:pt idx="0">
                  <c:v>-800000</c:v>
                </c:pt>
                <c:pt idx="1">
                  <c:v>34465.753424657538</c:v>
                </c:pt>
                <c:pt idx="2">
                  <c:v>193906.84931506851</c:v>
                </c:pt>
                <c:pt idx="3">
                  <c:v>187125.4794520548</c:v>
                </c:pt>
                <c:pt idx="4">
                  <c:v>180344.10958904109</c:v>
                </c:pt>
                <c:pt idx="5">
                  <c:v>173637.26027397261</c:v>
                </c:pt>
                <c:pt idx="6">
                  <c:v>166781.36986301371</c:v>
                </c:pt>
              </c:numCache>
            </c:numRef>
          </c:val>
          <c:extLst>
            <c:ext xmlns:c16="http://schemas.microsoft.com/office/drawing/2014/chart" uri="{C3380CC4-5D6E-409C-BE32-E72D297353CC}">
              <c16:uniqueId val="{00000000-6D19-41F0-91E0-AAB8A4E69C7D}"/>
            </c:ext>
          </c:extLst>
        </c:ser>
        <c:dLbls>
          <c:showLegendKey val="0"/>
          <c:showVal val="0"/>
          <c:showCatName val="0"/>
          <c:showSerName val="0"/>
          <c:showPercent val="0"/>
          <c:showBubbleSize val="0"/>
        </c:dLbls>
        <c:gapWidth val="0"/>
        <c:axId val="634098752"/>
        <c:axId val="634099144"/>
      </c:barChart>
      <c:lineChart>
        <c:grouping val="standard"/>
        <c:varyColors val="0"/>
        <c:ser>
          <c:idx val="1"/>
          <c:order val="1"/>
          <c:tx>
            <c:v>Acumulado</c:v>
          </c:tx>
          <c:spPr>
            <a:ln w="28575" cap="rnd">
              <a:solidFill>
                <a:srgbClr val="00CC99"/>
              </a:solidFill>
              <a:round/>
            </a:ln>
            <a:effectLst/>
          </c:spPr>
          <c:marker>
            <c:symbol val="none"/>
          </c:marker>
          <c:val>
            <c:numRef>
              <c:f>'Ej-USD'!$O$15:$O$21</c:f>
              <c:numCache>
                <c:formatCode>#,##0.00</c:formatCode>
                <c:ptCount val="7"/>
                <c:pt idx="0">
                  <c:v>-800000</c:v>
                </c:pt>
                <c:pt idx="1">
                  <c:v>-765534.24657534249</c:v>
                </c:pt>
                <c:pt idx="2">
                  <c:v>-571627.39726027404</c:v>
                </c:pt>
                <c:pt idx="3">
                  <c:v>-384501.91780821921</c:v>
                </c:pt>
                <c:pt idx="4">
                  <c:v>-204157.80821917811</c:v>
                </c:pt>
                <c:pt idx="5">
                  <c:v>-30520.547945205501</c:v>
                </c:pt>
                <c:pt idx="6">
                  <c:v>136260.82191780821</c:v>
                </c:pt>
              </c:numCache>
            </c:numRef>
          </c:val>
          <c:smooth val="0"/>
          <c:extLst>
            <c:ext xmlns:c16="http://schemas.microsoft.com/office/drawing/2014/chart" uri="{C3380CC4-5D6E-409C-BE32-E72D297353CC}">
              <c16:uniqueId val="{00000001-6D19-41F0-91E0-AAB8A4E69C7D}"/>
            </c:ext>
          </c:extLst>
        </c:ser>
        <c:dLbls>
          <c:showLegendKey val="0"/>
          <c:showVal val="0"/>
          <c:showCatName val="0"/>
          <c:showSerName val="0"/>
          <c:showPercent val="0"/>
          <c:showBubbleSize val="0"/>
        </c:dLbls>
        <c:marker val="1"/>
        <c:smooth val="0"/>
        <c:axId val="634098752"/>
        <c:axId val="634099144"/>
      </c:lineChart>
      <c:dateAx>
        <c:axId val="6340987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34099144"/>
        <c:crosses val="autoZero"/>
        <c:auto val="0"/>
        <c:lblOffset val="50"/>
        <c:baseTimeUnit val="months"/>
        <c:majorUnit val="6"/>
        <c:majorTimeUnit val="months"/>
      </c:dateAx>
      <c:valAx>
        <c:axId val="634099144"/>
        <c:scaling>
          <c:orientation val="minMax"/>
          <c:max val="400000"/>
          <c:min val="-8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34098752"/>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AR"/>
          </a:p>
        </c:txPr>
      </c:legendEntry>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ARS!$H$304:$H$316</c:f>
              <c:numCache>
                <c:formatCode>dd/mm/yyyy;@</c:formatCode>
                <c:ptCount val="13"/>
                <c:pt idx="0">
                  <c:v>43585</c:v>
                </c:pt>
                <c:pt idx="1">
                  <c:v>43676</c:v>
                </c:pt>
                <c:pt idx="2">
                  <c:v>43768</c:v>
                </c:pt>
                <c:pt idx="3">
                  <c:v>43860</c:v>
                </c:pt>
                <c:pt idx="4">
                  <c:v>43951</c:v>
                </c:pt>
                <c:pt idx="5">
                  <c:v>44042</c:v>
                </c:pt>
                <c:pt idx="6">
                  <c:v>44134</c:v>
                </c:pt>
                <c:pt idx="7">
                  <c:v>44228</c:v>
                </c:pt>
                <c:pt idx="8">
                  <c:v>44316</c:v>
                </c:pt>
                <c:pt idx="9">
                  <c:v>44407</c:v>
                </c:pt>
                <c:pt idx="10">
                  <c:v>44501</c:v>
                </c:pt>
                <c:pt idx="11">
                  <c:v>44592</c:v>
                </c:pt>
                <c:pt idx="12">
                  <c:v>44681</c:v>
                </c:pt>
              </c:numCache>
            </c:numRef>
          </c:cat>
          <c:val>
            <c:numRef>
              <c:f>ARS!$M$304:$M$316</c:f>
              <c:numCache>
                <c:formatCode>#,##0.00</c:formatCode>
                <c:ptCount val="13"/>
                <c:pt idx="0">
                  <c:v>-30000000</c:v>
                </c:pt>
                <c:pt idx="1">
                  <c:v>6838718.75</c:v>
                </c:pt>
                <c:pt idx="2">
                  <c:v>6722752.041666667</c:v>
                </c:pt>
                <c:pt idx="3">
                  <c:v>5913520.041666667</c:v>
                </c:pt>
                <c:pt idx="4">
                  <c:v>4502755.385416666</c:v>
                </c:pt>
                <c:pt idx="5">
                  <c:v>4142819.104166667</c:v>
                </c:pt>
                <c:pt idx="6">
                  <c:v>4273105.416666667</c:v>
                </c:pt>
                <c:pt idx="7">
                  <c:v>4140792.083333333</c:v>
                </c:pt>
                <c:pt idx="8">
                  <c:v>3816324.916666667</c:v>
                </c:pt>
                <c:pt idx="9">
                  <c:v>3591148.666666667</c:v>
                </c:pt>
                <c:pt idx="10">
                  <c:v>3345725.3958333335</c:v>
                </c:pt>
                <c:pt idx="11">
                  <c:v>3055294.84375</c:v>
                </c:pt>
                <c:pt idx="12">
                  <c:v>2797791.6666666665</c:v>
                </c:pt>
              </c:numCache>
            </c:numRef>
          </c:val>
          <c:extLst>
            <c:ext xmlns:c16="http://schemas.microsoft.com/office/drawing/2014/chart" uri="{C3380CC4-5D6E-409C-BE32-E72D297353CC}">
              <c16:uniqueId val="{00000000-24D5-4609-9FBE-3A54469E78EE}"/>
            </c:ext>
          </c:extLst>
        </c:ser>
        <c:dLbls>
          <c:showLegendKey val="0"/>
          <c:showVal val="0"/>
          <c:showCatName val="0"/>
          <c:showSerName val="0"/>
          <c:showPercent val="0"/>
          <c:showBubbleSize val="0"/>
        </c:dLbls>
        <c:gapWidth val="0"/>
        <c:axId val="605820296"/>
        <c:axId val="605821080"/>
      </c:barChart>
      <c:lineChart>
        <c:grouping val="standard"/>
        <c:varyColors val="0"/>
        <c:ser>
          <c:idx val="1"/>
          <c:order val="1"/>
          <c:tx>
            <c:v>Acumulado</c:v>
          </c:tx>
          <c:spPr>
            <a:ln w="28575" cap="rnd">
              <a:solidFill>
                <a:schemeClr val="accent2"/>
              </a:solidFill>
              <a:round/>
            </a:ln>
            <a:effectLst/>
          </c:spPr>
          <c:marker>
            <c:symbol val="none"/>
          </c:marker>
          <c:val>
            <c:numRef>
              <c:f>ARS!$O$268:$O$280</c:f>
              <c:numCache>
                <c:formatCode>#,##0.00</c:formatCode>
                <c:ptCount val="13"/>
                <c:pt idx="0">
                  <c:v>-30000000</c:v>
                </c:pt>
                <c:pt idx="1">
                  <c:v>-23161281.25</c:v>
                </c:pt>
                <c:pt idx="2">
                  <c:v>-16438529.208333332</c:v>
                </c:pt>
                <c:pt idx="3">
                  <c:v>-10525009.166666664</c:v>
                </c:pt>
                <c:pt idx="4">
                  <c:v>-6022253.7812499981</c:v>
                </c:pt>
                <c:pt idx="5">
                  <c:v>-1879434.6770833312</c:v>
                </c:pt>
                <c:pt idx="6">
                  <c:v>2393670.7395833358</c:v>
                </c:pt>
                <c:pt idx="7">
                  <c:v>6534462.8229166688</c:v>
                </c:pt>
                <c:pt idx="8">
                  <c:v>10350787.739583336</c:v>
                </c:pt>
                <c:pt idx="9">
                  <c:v>13941936.406250004</c:v>
                </c:pt>
                <c:pt idx="10">
                  <c:v>17287661.802083336</c:v>
                </c:pt>
                <c:pt idx="11">
                  <c:v>20342956.645833336</c:v>
                </c:pt>
                <c:pt idx="12">
                  <c:v>23140748.312500004</c:v>
                </c:pt>
              </c:numCache>
            </c:numRef>
          </c:val>
          <c:smooth val="0"/>
          <c:extLst>
            <c:ext xmlns:c16="http://schemas.microsoft.com/office/drawing/2014/chart" uri="{C3380CC4-5D6E-409C-BE32-E72D297353CC}">
              <c16:uniqueId val="{00000001-24D5-4609-9FBE-3A54469E78EE}"/>
            </c:ext>
          </c:extLst>
        </c:ser>
        <c:dLbls>
          <c:showLegendKey val="0"/>
          <c:showVal val="0"/>
          <c:showCatName val="0"/>
          <c:showSerName val="0"/>
          <c:showPercent val="0"/>
          <c:showBubbleSize val="0"/>
        </c:dLbls>
        <c:marker val="1"/>
        <c:smooth val="0"/>
        <c:axId val="605820296"/>
        <c:axId val="605821080"/>
      </c:lineChart>
      <c:dateAx>
        <c:axId val="6058202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5821080"/>
        <c:crosses val="autoZero"/>
        <c:auto val="0"/>
        <c:lblOffset val="50"/>
        <c:baseTimeUnit val="months"/>
        <c:majorUnit val="6"/>
        <c:majorTimeUnit val="months"/>
      </c:dateAx>
      <c:valAx>
        <c:axId val="6058210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58202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ARS!$H$347:$H$359</c:f>
              <c:numCache>
                <c:formatCode>dd/mm/yyyy;@</c:formatCode>
                <c:ptCount val="13"/>
                <c:pt idx="0">
                  <c:v>43518</c:v>
                </c:pt>
                <c:pt idx="1">
                  <c:v>43607</c:v>
                </c:pt>
                <c:pt idx="2">
                  <c:v>43699</c:v>
                </c:pt>
                <c:pt idx="3">
                  <c:v>43791</c:v>
                </c:pt>
                <c:pt idx="4">
                  <c:v>43885</c:v>
                </c:pt>
                <c:pt idx="5">
                  <c:v>43973</c:v>
                </c:pt>
                <c:pt idx="6">
                  <c:v>44067</c:v>
                </c:pt>
                <c:pt idx="7">
                  <c:v>44158</c:v>
                </c:pt>
                <c:pt idx="8">
                  <c:v>44249</c:v>
                </c:pt>
                <c:pt idx="9">
                  <c:v>44340</c:v>
                </c:pt>
                <c:pt idx="10">
                  <c:v>44431</c:v>
                </c:pt>
                <c:pt idx="11">
                  <c:v>44522</c:v>
                </c:pt>
                <c:pt idx="12">
                  <c:v>44614</c:v>
                </c:pt>
              </c:numCache>
            </c:numRef>
          </c:cat>
          <c:val>
            <c:numRef>
              <c:f>ARS!$M$347:$M$359</c:f>
              <c:numCache>
                <c:formatCode>#,##0.00</c:formatCode>
                <c:ptCount val="13"/>
                <c:pt idx="0">
                  <c:v>-15000000</c:v>
                </c:pt>
                <c:pt idx="1">
                  <c:v>3183736.979166667</c:v>
                </c:pt>
                <c:pt idx="2">
                  <c:v>3462173.3770833332</c:v>
                </c:pt>
                <c:pt idx="3">
                  <c:v>3160173.65</c:v>
                </c:pt>
                <c:pt idx="4">
                  <c:v>2679712.6583333332</c:v>
                </c:pt>
                <c:pt idx="5">
                  <c:v>2141185.4500000002</c:v>
                </c:pt>
                <c:pt idx="6">
                  <c:v>2015088.3020833335</c:v>
                </c:pt>
                <c:pt idx="7">
                  <c:v>1978417.6</c:v>
                </c:pt>
                <c:pt idx="8">
                  <c:v>1894960.0307291667</c:v>
                </c:pt>
                <c:pt idx="9">
                  <c:v>1781693.7999999998</c:v>
                </c:pt>
                <c:pt idx="10">
                  <c:v>1648996.9364583334</c:v>
                </c:pt>
                <c:pt idx="11">
                  <c:v>1509315.6614583333</c:v>
                </c:pt>
                <c:pt idx="12">
                  <c:v>1383979.1770833333</c:v>
                </c:pt>
              </c:numCache>
            </c:numRef>
          </c:val>
          <c:extLst>
            <c:ext xmlns:c16="http://schemas.microsoft.com/office/drawing/2014/chart" uri="{C3380CC4-5D6E-409C-BE32-E72D297353CC}">
              <c16:uniqueId val="{00000000-213A-4377-A903-3C3D85D7A5F9}"/>
            </c:ext>
          </c:extLst>
        </c:ser>
        <c:dLbls>
          <c:showLegendKey val="0"/>
          <c:showVal val="0"/>
          <c:showCatName val="0"/>
          <c:showSerName val="0"/>
          <c:showPercent val="0"/>
          <c:showBubbleSize val="0"/>
        </c:dLbls>
        <c:gapWidth val="0"/>
        <c:axId val="628786592"/>
        <c:axId val="628788552"/>
      </c:barChart>
      <c:lineChart>
        <c:grouping val="standard"/>
        <c:varyColors val="0"/>
        <c:ser>
          <c:idx val="1"/>
          <c:order val="1"/>
          <c:tx>
            <c:v>Acumulado</c:v>
          </c:tx>
          <c:spPr>
            <a:ln w="28575" cap="rnd">
              <a:solidFill>
                <a:schemeClr val="accent2"/>
              </a:solidFill>
              <a:round/>
            </a:ln>
            <a:effectLst/>
          </c:spPr>
          <c:marker>
            <c:symbol val="none"/>
          </c:marker>
          <c:val>
            <c:numRef>
              <c:f>ARS!$O$309:$O$321</c:f>
              <c:numCache>
                <c:formatCode>#,##0.00</c:formatCode>
                <c:ptCount val="13"/>
                <c:pt idx="0">
                  <c:v>-15000000</c:v>
                </c:pt>
                <c:pt idx="1">
                  <c:v>-11816263.020833332</c:v>
                </c:pt>
                <c:pt idx="2">
                  <c:v>-8354089.6437499989</c:v>
                </c:pt>
                <c:pt idx="3">
                  <c:v>-5193915.9937499985</c:v>
                </c:pt>
                <c:pt idx="4">
                  <c:v>-2514203.3354166653</c:v>
                </c:pt>
                <c:pt idx="5">
                  <c:v>-373017.88541666511</c:v>
                </c:pt>
                <c:pt idx="6">
                  <c:v>1642070.4166666684</c:v>
                </c:pt>
                <c:pt idx="7">
                  <c:v>3620488.0166666685</c:v>
                </c:pt>
                <c:pt idx="8">
                  <c:v>5515448.0473958347</c:v>
                </c:pt>
                <c:pt idx="9">
                  <c:v>7297141.8473958345</c:v>
                </c:pt>
                <c:pt idx="10">
                  <c:v>8946138.7838541679</c:v>
                </c:pt>
                <c:pt idx="11">
                  <c:v>10455454.445312502</c:v>
                </c:pt>
                <c:pt idx="12">
                  <c:v>11839433.622395836</c:v>
                </c:pt>
              </c:numCache>
            </c:numRef>
          </c:val>
          <c:smooth val="0"/>
          <c:extLst>
            <c:ext xmlns:c16="http://schemas.microsoft.com/office/drawing/2014/chart" uri="{C3380CC4-5D6E-409C-BE32-E72D297353CC}">
              <c16:uniqueId val="{00000001-213A-4377-A903-3C3D85D7A5F9}"/>
            </c:ext>
          </c:extLst>
        </c:ser>
        <c:dLbls>
          <c:showLegendKey val="0"/>
          <c:showVal val="0"/>
          <c:showCatName val="0"/>
          <c:showSerName val="0"/>
          <c:showPercent val="0"/>
          <c:showBubbleSize val="0"/>
        </c:dLbls>
        <c:marker val="1"/>
        <c:smooth val="0"/>
        <c:axId val="628786592"/>
        <c:axId val="628788552"/>
      </c:lineChart>
      <c:dateAx>
        <c:axId val="628786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552"/>
        <c:crosses val="autoZero"/>
        <c:auto val="0"/>
        <c:lblOffset val="50"/>
        <c:baseTimeUnit val="months"/>
        <c:majorUnit val="6"/>
        <c:majorTimeUnit val="months"/>
      </c:dateAx>
      <c:valAx>
        <c:axId val="6287885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65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ARS!$H$390:$H$394</c:f>
              <c:numCache>
                <c:formatCode>dd/mm/yyyy;@</c:formatCode>
                <c:ptCount val="5"/>
                <c:pt idx="0">
                  <c:v>43685</c:v>
                </c:pt>
                <c:pt idx="1">
                  <c:v>43871</c:v>
                </c:pt>
                <c:pt idx="2">
                  <c:v>44053</c:v>
                </c:pt>
                <c:pt idx="3">
                  <c:v>44235</c:v>
                </c:pt>
                <c:pt idx="4">
                  <c:v>44417</c:v>
                </c:pt>
              </c:numCache>
            </c:numRef>
          </c:cat>
          <c:val>
            <c:numRef>
              <c:f>ARS!$M$390:$M$394</c:f>
              <c:numCache>
                <c:formatCode>#,##0.00</c:formatCode>
                <c:ptCount val="5"/>
                <c:pt idx="0">
                  <c:v>-21600000</c:v>
                </c:pt>
                <c:pt idx="1">
                  <c:v>7764412.5</c:v>
                </c:pt>
                <c:pt idx="2">
                  <c:v>6088128.75</c:v>
                </c:pt>
                <c:pt idx="3">
                  <c:v>12126210</c:v>
                </c:pt>
                <c:pt idx="4">
                  <c:v>10481385</c:v>
                </c:pt>
              </c:numCache>
            </c:numRef>
          </c:val>
          <c:extLst>
            <c:ext xmlns:c16="http://schemas.microsoft.com/office/drawing/2014/chart" uri="{C3380CC4-5D6E-409C-BE32-E72D297353CC}">
              <c16:uniqueId val="{00000000-9167-41D6-8703-62C564E55756}"/>
            </c:ext>
          </c:extLst>
        </c:ser>
        <c:dLbls>
          <c:showLegendKey val="0"/>
          <c:showVal val="0"/>
          <c:showCatName val="0"/>
          <c:showSerName val="0"/>
          <c:showPercent val="0"/>
          <c:showBubbleSize val="0"/>
        </c:dLbls>
        <c:gapWidth val="0"/>
        <c:axId val="628785808"/>
        <c:axId val="628786984"/>
      </c:barChart>
      <c:lineChart>
        <c:grouping val="standard"/>
        <c:varyColors val="0"/>
        <c:ser>
          <c:idx val="1"/>
          <c:order val="1"/>
          <c:tx>
            <c:v>Acumulado</c:v>
          </c:tx>
          <c:spPr>
            <a:ln w="28575" cap="rnd">
              <a:solidFill>
                <a:schemeClr val="accent2"/>
              </a:solidFill>
              <a:round/>
            </a:ln>
            <a:effectLst/>
          </c:spPr>
          <c:marker>
            <c:symbol val="none"/>
          </c:marker>
          <c:val>
            <c:numRef>
              <c:f>ARS!$O$352:$O$364</c:f>
              <c:numCache>
                <c:formatCode>#,##0.00</c:formatCode>
                <c:ptCount val="13"/>
                <c:pt idx="0">
                  <c:v>-21600000</c:v>
                </c:pt>
                <c:pt idx="1">
                  <c:v>-13835587.5</c:v>
                </c:pt>
                <c:pt idx="2">
                  <c:v>-7747458.75</c:v>
                </c:pt>
                <c:pt idx="3">
                  <c:v>4378751.25</c:v>
                </c:pt>
                <c:pt idx="4">
                  <c:v>14860136.25</c:v>
                </c:pt>
              </c:numCache>
            </c:numRef>
          </c:val>
          <c:smooth val="0"/>
          <c:extLst>
            <c:ext xmlns:c16="http://schemas.microsoft.com/office/drawing/2014/chart" uri="{C3380CC4-5D6E-409C-BE32-E72D297353CC}">
              <c16:uniqueId val="{00000001-9167-41D6-8703-62C564E55756}"/>
            </c:ext>
          </c:extLst>
        </c:ser>
        <c:dLbls>
          <c:showLegendKey val="0"/>
          <c:showVal val="0"/>
          <c:showCatName val="0"/>
          <c:showSerName val="0"/>
          <c:showPercent val="0"/>
          <c:showBubbleSize val="0"/>
        </c:dLbls>
        <c:marker val="1"/>
        <c:smooth val="0"/>
        <c:axId val="628785808"/>
        <c:axId val="628786984"/>
      </c:lineChart>
      <c:dateAx>
        <c:axId val="6287858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984"/>
        <c:crosses val="autoZero"/>
        <c:auto val="0"/>
        <c:lblOffset val="50"/>
        <c:baseTimeUnit val="months"/>
        <c:majorUnit val="6"/>
        <c:majorTimeUnit val="months"/>
      </c:dateAx>
      <c:valAx>
        <c:axId val="6287869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8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ARS!$H$425:$H$431</c:f>
              <c:numCache>
                <c:formatCode>dd/mm/yyyy;@</c:formatCode>
                <c:ptCount val="7"/>
                <c:pt idx="0">
                  <c:v>43412</c:v>
                </c:pt>
                <c:pt idx="1">
                  <c:v>43593</c:v>
                </c:pt>
                <c:pt idx="2">
                  <c:v>43777</c:v>
                </c:pt>
                <c:pt idx="3">
                  <c:v>43959</c:v>
                </c:pt>
                <c:pt idx="4">
                  <c:v>44144</c:v>
                </c:pt>
                <c:pt idx="5">
                  <c:v>44326</c:v>
                </c:pt>
                <c:pt idx="6">
                  <c:v>44508</c:v>
                </c:pt>
              </c:numCache>
            </c:numRef>
          </c:cat>
          <c:val>
            <c:numRef>
              <c:f>ARS!$M$425:$M$431</c:f>
              <c:numCache>
                <c:formatCode>#,##0.00</c:formatCode>
                <c:ptCount val="7"/>
                <c:pt idx="0">
                  <c:v>-4000000</c:v>
                </c:pt>
                <c:pt idx="1">
                  <c:v>1199125</c:v>
                </c:pt>
                <c:pt idx="2">
                  <c:v>2266416.6666666665</c:v>
                </c:pt>
                <c:pt idx="3">
                  <c:v>622781.25</c:v>
                </c:pt>
                <c:pt idx="4">
                  <c:v>1815183.3333333335</c:v>
                </c:pt>
                <c:pt idx="5">
                  <c:v>331138.88888888888</c:v>
                </c:pt>
                <c:pt idx="6">
                  <c:v>1940997.2222222222</c:v>
                </c:pt>
              </c:numCache>
            </c:numRef>
          </c:val>
          <c:extLst>
            <c:ext xmlns:c16="http://schemas.microsoft.com/office/drawing/2014/chart" uri="{C3380CC4-5D6E-409C-BE32-E72D297353CC}">
              <c16:uniqueId val="{00000000-2D1B-4036-8174-5DC8F845F2C5}"/>
            </c:ext>
          </c:extLst>
        </c:ser>
        <c:dLbls>
          <c:showLegendKey val="0"/>
          <c:showVal val="0"/>
          <c:showCatName val="0"/>
          <c:showSerName val="0"/>
          <c:showPercent val="0"/>
          <c:showBubbleSize val="0"/>
        </c:dLbls>
        <c:gapWidth val="0"/>
        <c:axId val="628787376"/>
        <c:axId val="628783848"/>
      </c:barChart>
      <c:lineChart>
        <c:grouping val="standard"/>
        <c:varyColors val="0"/>
        <c:ser>
          <c:idx val="1"/>
          <c:order val="1"/>
          <c:tx>
            <c:v>Acumulado</c:v>
          </c:tx>
          <c:spPr>
            <a:ln w="28575" cap="rnd">
              <a:solidFill>
                <a:schemeClr val="accent2"/>
              </a:solidFill>
              <a:round/>
            </a:ln>
            <a:effectLst/>
          </c:spPr>
          <c:marker>
            <c:symbol val="none"/>
          </c:marker>
          <c:val>
            <c:numRef>
              <c:f>ARS!$O$387:$O$393</c:f>
              <c:numCache>
                <c:formatCode>#,##0.00</c:formatCode>
                <c:ptCount val="7"/>
                <c:pt idx="0">
                  <c:v>-4000000</c:v>
                </c:pt>
                <c:pt idx="1">
                  <c:v>-2800875</c:v>
                </c:pt>
                <c:pt idx="2">
                  <c:v>-534458.33333333349</c:v>
                </c:pt>
                <c:pt idx="3">
                  <c:v>88322.916666666511</c:v>
                </c:pt>
                <c:pt idx="4">
                  <c:v>1903506.25</c:v>
                </c:pt>
                <c:pt idx="5">
                  <c:v>2234645.138888889</c:v>
                </c:pt>
                <c:pt idx="6">
                  <c:v>4175642.361111111</c:v>
                </c:pt>
              </c:numCache>
            </c:numRef>
          </c:val>
          <c:smooth val="0"/>
          <c:extLst>
            <c:ext xmlns:c16="http://schemas.microsoft.com/office/drawing/2014/chart" uri="{C3380CC4-5D6E-409C-BE32-E72D297353CC}">
              <c16:uniqueId val="{00000001-2D1B-4036-8174-5DC8F845F2C5}"/>
            </c:ext>
          </c:extLst>
        </c:ser>
        <c:dLbls>
          <c:showLegendKey val="0"/>
          <c:showVal val="0"/>
          <c:showCatName val="0"/>
          <c:showSerName val="0"/>
          <c:showPercent val="0"/>
          <c:showBubbleSize val="0"/>
        </c:dLbls>
        <c:marker val="1"/>
        <c:smooth val="0"/>
        <c:axId val="628787376"/>
        <c:axId val="628783848"/>
      </c:lineChart>
      <c:dateAx>
        <c:axId val="62878737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3848"/>
        <c:crosses val="autoZero"/>
        <c:auto val="0"/>
        <c:lblOffset val="50"/>
        <c:baseTimeUnit val="months"/>
        <c:majorUnit val="6"/>
        <c:majorTimeUnit val="months"/>
      </c:dateAx>
      <c:valAx>
        <c:axId val="62878384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737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ARS!$H$462:$H$466</c:f>
              <c:numCache>
                <c:formatCode>dd/mm/yyyy;@</c:formatCode>
                <c:ptCount val="5"/>
                <c:pt idx="0">
                  <c:v>43206</c:v>
                </c:pt>
                <c:pt idx="1">
                  <c:v>43389</c:v>
                </c:pt>
                <c:pt idx="2">
                  <c:v>43571</c:v>
                </c:pt>
                <c:pt idx="3">
                  <c:v>43754</c:v>
                </c:pt>
                <c:pt idx="4">
                  <c:v>43937</c:v>
                </c:pt>
              </c:numCache>
            </c:numRef>
          </c:cat>
          <c:val>
            <c:numRef>
              <c:f>ARS!$M$462:$M$466</c:f>
              <c:numCache>
                <c:formatCode>#,##0.00</c:formatCode>
                <c:ptCount val="5"/>
                <c:pt idx="0">
                  <c:v>-5000000</c:v>
                </c:pt>
                <c:pt idx="1">
                  <c:v>2318294.270833333</c:v>
                </c:pt>
                <c:pt idx="2">
                  <c:v>2277897.135416667</c:v>
                </c:pt>
                <c:pt idx="3">
                  <c:v>1996614.5833333335</c:v>
                </c:pt>
                <c:pt idx="4">
                  <c:v>1546461.5885416667</c:v>
                </c:pt>
              </c:numCache>
            </c:numRef>
          </c:val>
          <c:extLst>
            <c:ext xmlns:c16="http://schemas.microsoft.com/office/drawing/2014/chart" uri="{C3380CC4-5D6E-409C-BE32-E72D297353CC}">
              <c16:uniqueId val="{00000000-0753-4C70-B6E9-69F17B6374E0}"/>
            </c:ext>
          </c:extLst>
        </c:ser>
        <c:dLbls>
          <c:showLegendKey val="0"/>
          <c:showVal val="0"/>
          <c:showCatName val="0"/>
          <c:showSerName val="0"/>
          <c:showPercent val="0"/>
          <c:showBubbleSize val="0"/>
        </c:dLbls>
        <c:gapWidth val="0"/>
        <c:axId val="628781496"/>
        <c:axId val="628786200"/>
      </c:barChart>
      <c:lineChart>
        <c:grouping val="standard"/>
        <c:varyColors val="0"/>
        <c:ser>
          <c:idx val="1"/>
          <c:order val="1"/>
          <c:tx>
            <c:v>Acumulado</c:v>
          </c:tx>
          <c:spPr>
            <a:ln w="28575" cap="rnd">
              <a:solidFill>
                <a:schemeClr val="accent2"/>
              </a:solidFill>
              <a:round/>
            </a:ln>
            <a:effectLst/>
          </c:spPr>
          <c:marker>
            <c:symbol val="none"/>
          </c:marker>
          <c:val>
            <c:numRef>
              <c:f>ARS!$O$424:$O$428</c:f>
              <c:numCache>
                <c:formatCode>#,##0.00</c:formatCode>
                <c:ptCount val="5"/>
                <c:pt idx="0">
                  <c:v>-5000000</c:v>
                </c:pt>
                <c:pt idx="1">
                  <c:v>-2681705.729166667</c:v>
                </c:pt>
                <c:pt idx="2">
                  <c:v>-403808.59375</c:v>
                </c:pt>
                <c:pt idx="3">
                  <c:v>1592805.9895833335</c:v>
                </c:pt>
                <c:pt idx="4">
                  <c:v>3139267.578125</c:v>
                </c:pt>
              </c:numCache>
            </c:numRef>
          </c:val>
          <c:smooth val="0"/>
          <c:extLst>
            <c:ext xmlns:c16="http://schemas.microsoft.com/office/drawing/2014/chart" uri="{C3380CC4-5D6E-409C-BE32-E72D297353CC}">
              <c16:uniqueId val="{00000001-0753-4C70-B6E9-69F17B6374E0}"/>
            </c:ext>
          </c:extLst>
        </c:ser>
        <c:dLbls>
          <c:showLegendKey val="0"/>
          <c:showVal val="0"/>
          <c:showCatName val="0"/>
          <c:showSerName val="0"/>
          <c:showPercent val="0"/>
          <c:showBubbleSize val="0"/>
        </c:dLbls>
        <c:marker val="1"/>
        <c:smooth val="0"/>
        <c:axId val="628781496"/>
        <c:axId val="628786200"/>
      </c:lineChart>
      <c:dateAx>
        <c:axId val="628781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6200"/>
        <c:crosses val="autoZero"/>
        <c:auto val="0"/>
        <c:lblOffset val="50"/>
        <c:baseTimeUnit val="months"/>
        <c:majorUnit val="6"/>
        <c:majorTimeUnit val="months"/>
      </c:dateAx>
      <c:valAx>
        <c:axId val="6287862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68-40DC-8190-8DB07A285A2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768-40DC-8190-8DB07A285A2E}"/>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8-40DC-8190-8DB07A285A2E}"/>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8-40DC-8190-8DB07A285A2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(Reporte!$J$13,Reporte!$M$13)</c:f>
              <c:strCache>
                <c:ptCount val="2"/>
                <c:pt idx="0">
                  <c:v>ARS</c:v>
                </c:pt>
                <c:pt idx="1">
                  <c:v>USD</c:v>
                </c:pt>
              </c:strCache>
            </c:strRef>
          </c:cat>
          <c:val>
            <c:numRef>
              <c:f>(Reporte!$J$14,Reporte!$J$20)</c:f>
              <c:numCache>
                <c:formatCode>#,##0</c:formatCode>
                <c:ptCount val="2"/>
                <c:pt idx="0">
                  <c:v>200000000.18928754</c:v>
                </c:pt>
                <c:pt idx="1">
                  <c:v>6336355362.1665993</c:v>
                </c:pt>
              </c:numCache>
            </c:numRef>
          </c:val>
          <c:extLst>
            <c:ext xmlns:c16="http://schemas.microsoft.com/office/drawing/2014/chart" uri="{C3380CC4-5D6E-409C-BE32-E72D297353CC}">
              <c16:uniqueId val="{00000004-3768-40DC-8190-8DB07A285A2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ARS!$H$497:$H$501</c:f>
              <c:numCache>
                <c:formatCode>dd/mm/yyyy;@</c:formatCode>
                <c:ptCount val="5"/>
                <c:pt idx="0">
                  <c:v>43553</c:v>
                </c:pt>
                <c:pt idx="1">
                  <c:v>43738</c:v>
                </c:pt>
                <c:pt idx="2">
                  <c:v>43920</c:v>
                </c:pt>
                <c:pt idx="3">
                  <c:v>44103</c:v>
                </c:pt>
                <c:pt idx="4">
                  <c:v>44284</c:v>
                </c:pt>
              </c:numCache>
            </c:numRef>
          </c:cat>
          <c:val>
            <c:numRef>
              <c:f>ARS!$M$497:$M$501</c:f>
              <c:numCache>
                <c:formatCode>#,##0.00</c:formatCode>
                <c:ptCount val="5"/>
                <c:pt idx="0">
                  <c:v>-1000000</c:v>
                </c:pt>
                <c:pt idx="1">
                  <c:v>294040.79861111118</c:v>
                </c:pt>
                <c:pt idx="2">
                  <c:v>757043.40277777775</c:v>
                </c:pt>
                <c:pt idx="3">
                  <c:v>91102.864583333328</c:v>
                </c:pt>
                <c:pt idx="4">
                  <c:v>596077.69097222225</c:v>
                </c:pt>
              </c:numCache>
            </c:numRef>
          </c:val>
          <c:extLst>
            <c:ext xmlns:c16="http://schemas.microsoft.com/office/drawing/2014/chart" uri="{C3380CC4-5D6E-409C-BE32-E72D297353CC}">
              <c16:uniqueId val="{00000000-712E-49B5-8CAC-046840DBF2D8}"/>
            </c:ext>
          </c:extLst>
        </c:ser>
        <c:dLbls>
          <c:showLegendKey val="0"/>
          <c:showVal val="0"/>
          <c:showCatName val="0"/>
          <c:showSerName val="0"/>
          <c:showPercent val="0"/>
          <c:showBubbleSize val="0"/>
        </c:dLbls>
        <c:gapWidth val="0"/>
        <c:axId val="628781888"/>
        <c:axId val="628788160"/>
      </c:barChart>
      <c:lineChart>
        <c:grouping val="standard"/>
        <c:varyColors val="0"/>
        <c:ser>
          <c:idx val="1"/>
          <c:order val="1"/>
          <c:tx>
            <c:v>Acumulado</c:v>
          </c:tx>
          <c:spPr>
            <a:ln w="28575" cap="rnd">
              <a:solidFill>
                <a:schemeClr val="accent2"/>
              </a:solidFill>
              <a:round/>
            </a:ln>
            <a:effectLst/>
          </c:spPr>
          <c:marker>
            <c:symbol val="none"/>
          </c:marker>
          <c:val>
            <c:numRef>
              <c:f>ARS!$O$459:$O$471</c:f>
              <c:numCache>
                <c:formatCode>#,##0.00</c:formatCode>
                <c:ptCount val="13"/>
                <c:pt idx="0">
                  <c:v>-1000000</c:v>
                </c:pt>
                <c:pt idx="1">
                  <c:v>-705959.20138888876</c:v>
                </c:pt>
                <c:pt idx="2">
                  <c:v>51084.201388888992</c:v>
                </c:pt>
                <c:pt idx="3">
                  <c:v>142187.06597222231</c:v>
                </c:pt>
                <c:pt idx="4">
                  <c:v>738264.7569444445</c:v>
                </c:pt>
              </c:numCache>
            </c:numRef>
          </c:val>
          <c:smooth val="0"/>
          <c:extLst>
            <c:ext xmlns:c16="http://schemas.microsoft.com/office/drawing/2014/chart" uri="{C3380CC4-5D6E-409C-BE32-E72D297353CC}">
              <c16:uniqueId val="{00000001-712E-49B5-8CAC-046840DBF2D8}"/>
            </c:ext>
          </c:extLst>
        </c:ser>
        <c:dLbls>
          <c:showLegendKey val="0"/>
          <c:showVal val="0"/>
          <c:showCatName val="0"/>
          <c:showSerName val="0"/>
          <c:showPercent val="0"/>
          <c:showBubbleSize val="0"/>
        </c:dLbls>
        <c:marker val="1"/>
        <c:smooth val="0"/>
        <c:axId val="628781888"/>
        <c:axId val="628788160"/>
      </c:lineChart>
      <c:dateAx>
        <c:axId val="6287818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8160"/>
        <c:crosses val="autoZero"/>
        <c:auto val="0"/>
        <c:lblOffset val="50"/>
        <c:baseTimeUnit val="months"/>
        <c:majorUnit val="6"/>
        <c:majorTimeUnit val="months"/>
      </c:dateAx>
      <c:valAx>
        <c:axId val="628788160"/>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188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ARS!$H$532:$H$536</c:f>
              <c:numCache>
                <c:formatCode>dd/mm/yyyy;@</c:formatCode>
                <c:ptCount val="5"/>
                <c:pt idx="0">
                  <c:v>43279</c:v>
                </c:pt>
                <c:pt idx="1">
                  <c:v>43462</c:v>
                </c:pt>
                <c:pt idx="2">
                  <c:v>43644</c:v>
                </c:pt>
                <c:pt idx="3">
                  <c:v>43829</c:v>
                </c:pt>
                <c:pt idx="4">
                  <c:v>44011</c:v>
                </c:pt>
              </c:numCache>
            </c:numRef>
          </c:cat>
          <c:val>
            <c:numRef>
              <c:f>ARS!$M$532:$M$536</c:f>
              <c:numCache>
                <c:formatCode>#,##0.00</c:formatCode>
                <c:ptCount val="5"/>
                <c:pt idx="0">
                  <c:v>-5000000</c:v>
                </c:pt>
                <c:pt idx="1">
                  <c:v>2037513.0208333333</c:v>
                </c:pt>
                <c:pt idx="2">
                  <c:v>2042523.8715277775</c:v>
                </c:pt>
                <c:pt idx="3">
                  <c:v>1753849.826388889</c:v>
                </c:pt>
                <c:pt idx="4">
                  <c:v>1377797.3090277775</c:v>
                </c:pt>
              </c:numCache>
            </c:numRef>
          </c:val>
          <c:extLst>
            <c:ext xmlns:c16="http://schemas.microsoft.com/office/drawing/2014/chart" uri="{C3380CC4-5D6E-409C-BE32-E72D297353CC}">
              <c16:uniqueId val="{00000000-9154-433F-B4DC-D46A5FF60A06}"/>
            </c:ext>
          </c:extLst>
        </c:ser>
        <c:dLbls>
          <c:showLegendKey val="0"/>
          <c:showVal val="0"/>
          <c:showCatName val="0"/>
          <c:showSerName val="0"/>
          <c:showPercent val="0"/>
          <c:showBubbleSize val="0"/>
        </c:dLbls>
        <c:gapWidth val="0"/>
        <c:axId val="628782280"/>
        <c:axId val="628784632"/>
      </c:barChart>
      <c:lineChart>
        <c:grouping val="standard"/>
        <c:varyColors val="0"/>
        <c:ser>
          <c:idx val="1"/>
          <c:order val="1"/>
          <c:tx>
            <c:v>Acumulado</c:v>
          </c:tx>
          <c:spPr>
            <a:ln w="28575" cap="rnd">
              <a:solidFill>
                <a:schemeClr val="accent2"/>
              </a:solidFill>
              <a:round/>
            </a:ln>
            <a:effectLst/>
          </c:spPr>
          <c:marker>
            <c:symbol val="none"/>
          </c:marker>
          <c:val>
            <c:numRef>
              <c:f>ARS!$O$494:$O$506</c:f>
              <c:numCache>
                <c:formatCode>#,##0.00</c:formatCode>
                <c:ptCount val="13"/>
                <c:pt idx="0">
                  <c:v>-5000000</c:v>
                </c:pt>
                <c:pt idx="1">
                  <c:v>-2962486.979166667</c:v>
                </c:pt>
                <c:pt idx="2">
                  <c:v>-919963.10763888946</c:v>
                </c:pt>
                <c:pt idx="3">
                  <c:v>833886.71874999953</c:v>
                </c:pt>
                <c:pt idx="4">
                  <c:v>2211684.0277777771</c:v>
                </c:pt>
                <c:pt idx="5">
                  <c:v>4634454.8611111101</c:v>
                </c:pt>
              </c:numCache>
            </c:numRef>
          </c:val>
          <c:smooth val="0"/>
          <c:extLst>
            <c:ext xmlns:c16="http://schemas.microsoft.com/office/drawing/2014/chart" uri="{C3380CC4-5D6E-409C-BE32-E72D297353CC}">
              <c16:uniqueId val="{00000001-9154-433F-B4DC-D46A5FF60A06}"/>
            </c:ext>
          </c:extLst>
        </c:ser>
        <c:dLbls>
          <c:showLegendKey val="0"/>
          <c:showVal val="0"/>
          <c:showCatName val="0"/>
          <c:showSerName val="0"/>
          <c:showPercent val="0"/>
          <c:showBubbleSize val="0"/>
        </c:dLbls>
        <c:marker val="1"/>
        <c:smooth val="0"/>
        <c:axId val="628782280"/>
        <c:axId val="628784632"/>
      </c:lineChart>
      <c:dateAx>
        <c:axId val="628782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4632"/>
        <c:crosses val="autoZero"/>
        <c:auto val="0"/>
        <c:lblOffset val="50"/>
        <c:baseTimeUnit val="months"/>
        <c:majorUnit val="6"/>
        <c:majorTimeUnit val="months"/>
      </c:dateAx>
      <c:valAx>
        <c:axId val="6287846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2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ARS!$H$621:$H$633</c:f>
              <c:numCache>
                <c:formatCode>dd/mm/yyyy;@</c:formatCode>
                <c:ptCount val="13"/>
                <c:pt idx="0">
                  <c:v>43488</c:v>
                </c:pt>
                <c:pt idx="1">
                  <c:v>43578</c:v>
                </c:pt>
                <c:pt idx="2">
                  <c:v>43669</c:v>
                </c:pt>
                <c:pt idx="3">
                  <c:v>43761</c:v>
                </c:pt>
                <c:pt idx="4">
                  <c:v>43853</c:v>
                </c:pt>
                <c:pt idx="5">
                  <c:v>43944</c:v>
                </c:pt>
                <c:pt idx="6">
                  <c:v>44035</c:v>
                </c:pt>
                <c:pt idx="7">
                  <c:v>44127</c:v>
                </c:pt>
                <c:pt idx="8">
                  <c:v>44221</c:v>
                </c:pt>
                <c:pt idx="9">
                  <c:v>44309</c:v>
                </c:pt>
                <c:pt idx="10">
                  <c:v>44400</c:v>
                </c:pt>
                <c:pt idx="11">
                  <c:v>44494</c:v>
                </c:pt>
                <c:pt idx="12">
                  <c:v>44585</c:v>
                </c:pt>
              </c:numCache>
            </c:numRef>
          </c:cat>
          <c:val>
            <c:numRef>
              <c:f>ARS!$M$621:$M$633</c:f>
              <c:numCache>
                <c:formatCode>#,##0.00</c:formatCode>
                <c:ptCount val="13"/>
                <c:pt idx="0">
                  <c:v>-4000000</c:v>
                </c:pt>
                <c:pt idx="1">
                  <c:v>549999.99999999988</c:v>
                </c:pt>
                <c:pt idx="2">
                  <c:v>564642.36111111112</c:v>
                </c:pt>
                <c:pt idx="3">
                  <c:v>606305.55555555562</c:v>
                </c:pt>
                <c:pt idx="4">
                  <c:v>989763.88888888899</c:v>
                </c:pt>
                <c:pt idx="5">
                  <c:v>757773.26388888899</c:v>
                </c:pt>
                <c:pt idx="6">
                  <c:v>691141.04166666674</c:v>
                </c:pt>
                <c:pt idx="7">
                  <c:v>697475.41666666674</c:v>
                </c:pt>
                <c:pt idx="8">
                  <c:v>673955.5555555555</c:v>
                </c:pt>
                <c:pt idx="9">
                  <c:v>625625</c:v>
                </c:pt>
                <c:pt idx="10">
                  <c:v>584601.52777777775</c:v>
                </c:pt>
                <c:pt idx="11">
                  <c:v>541118.54166666663</c:v>
                </c:pt>
                <c:pt idx="12">
                  <c:v>533083.33333333337</c:v>
                </c:pt>
              </c:numCache>
            </c:numRef>
          </c:val>
          <c:extLst>
            <c:ext xmlns:c16="http://schemas.microsoft.com/office/drawing/2014/chart" uri="{C3380CC4-5D6E-409C-BE32-E72D297353CC}">
              <c16:uniqueId val="{00000000-6A78-4C7E-96EB-3F499ED3923A}"/>
            </c:ext>
          </c:extLst>
        </c:ser>
        <c:dLbls>
          <c:showLegendKey val="0"/>
          <c:showVal val="0"/>
          <c:showCatName val="0"/>
          <c:showSerName val="0"/>
          <c:showPercent val="0"/>
          <c:showBubbleSize val="0"/>
        </c:dLbls>
        <c:gapWidth val="0"/>
        <c:axId val="628785024"/>
        <c:axId val="628785416"/>
      </c:barChart>
      <c:lineChart>
        <c:grouping val="standard"/>
        <c:varyColors val="0"/>
        <c:ser>
          <c:idx val="1"/>
          <c:order val="1"/>
          <c:tx>
            <c:v>Acumulado</c:v>
          </c:tx>
          <c:spPr>
            <a:ln w="28575" cap="rnd">
              <a:solidFill>
                <a:schemeClr val="accent2"/>
              </a:solidFill>
              <a:round/>
            </a:ln>
            <a:effectLst/>
          </c:spPr>
          <c:marker>
            <c:symbol val="none"/>
          </c:marker>
          <c:val>
            <c:numRef>
              <c:f>ARS!$O$532:$O$544</c:f>
              <c:numCache>
                <c:formatCode>#,##0.00</c:formatCode>
                <c:ptCount val="13"/>
                <c:pt idx="0">
                  <c:v>-4000000</c:v>
                </c:pt>
                <c:pt idx="1">
                  <c:v>-3450000</c:v>
                </c:pt>
                <c:pt idx="2">
                  <c:v>-2885357.638888889</c:v>
                </c:pt>
                <c:pt idx="3">
                  <c:v>-2279052.0833333335</c:v>
                </c:pt>
                <c:pt idx="4">
                  <c:v>-1289288.1944444445</c:v>
                </c:pt>
                <c:pt idx="5">
                  <c:v>-531514.9305555555</c:v>
                </c:pt>
                <c:pt idx="6">
                  <c:v>159626.11111111124</c:v>
                </c:pt>
                <c:pt idx="7">
                  <c:v>857101.52777777798</c:v>
                </c:pt>
                <c:pt idx="8">
                  <c:v>1531057.0833333335</c:v>
                </c:pt>
                <c:pt idx="9">
                  <c:v>2156682.0833333335</c:v>
                </c:pt>
                <c:pt idx="10">
                  <c:v>2741283.611111111</c:v>
                </c:pt>
                <c:pt idx="11">
                  <c:v>3282402.1527777775</c:v>
                </c:pt>
                <c:pt idx="12">
                  <c:v>3815485.486111111</c:v>
                </c:pt>
              </c:numCache>
            </c:numRef>
          </c:val>
          <c:smooth val="0"/>
          <c:extLst>
            <c:ext xmlns:c16="http://schemas.microsoft.com/office/drawing/2014/chart" uri="{C3380CC4-5D6E-409C-BE32-E72D297353CC}">
              <c16:uniqueId val="{00000001-6A78-4C7E-96EB-3F499ED3923A}"/>
            </c:ext>
          </c:extLst>
        </c:ser>
        <c:dLbls>
          <c:showLegendKey val="0"/>
          <c:showVal val="0"/>
          <c:showCatName val="0"/>
          <c:showSerName val="0"/>
          <c:showPercent val="0"/>
          <c:showBubbleSize val="0"/>
        </c:dLbls>
        <c:marker val="1"/>
        <c:smooth val="0"/>
        <c:axId val="628785024"/>
        <c:axId val="628785416"/>
      </c:lineChart>
      <c:dateAx>
        <c:axId val="6287850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785416"/>
        <c:crosses val="autoZero"/>
        <c:auto val="0"/>
        <c:lblOffset val="50"/>
        <c:baseTimeUnit val="months"/>
        <c:majorUnit val="6"/>
        <c:majorTimeUnit val="months"/>
      </c:dateAx>
      <c:valAx>
        <c:axId val="6287854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7850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ARS!$H$738:$H$742</c:f>
              <c:numCache>
                <c:formatCode>dd/mm/yyyy;@</c:formatCode>
                <c:ptCount val="5"/>
                <c:pt idx="0">
                  <c:v>43599</c:v>
                </c:pt>
                <c:pt idx="1">
                  <c:v>43783</c:v>
                </c:pt>
                <c:pt idx="2">
                  <c:v>43965</c:v>
                </c:pt>
                <c:pt idx="3">
                  <c:v>44151</c:v>
                </c:pt>
                <c:pt idx="4">
                  <c:v>44330</c:v>
                </c:pt>
              </c:numCache>
            </c:numRef>
          </c:cat>
          <c:val>
            <c:numRef>
              <c:f>ARS!$M$738:$M$742</c:f>
              <c:numCache>
                <c:formatCode>#,##0.00</c:formatCode>
                <c:ptCount val="5"/>
                <c:pt idx="0">
                  <c:v>-15000000</c:v>
                </c:pt>
                <c:pt idx="1">
                  <c:v>8187083.333333333</c:v>
                </c:pt>
                <c:pt idx="2">
                  <c:v>6124531.25</c:v>
                </c:pt>
                <c:pt idx="3">
                  <c:v>5061445.3125</c:v>
                </c:pt>
                <c:pt idx="4">
                  <c:v>4511565.755208333</c:v>
                </c:pt>
              </c:numCache>
            </c:numRef>
          </c:val>
          <c:extLst>
            <c:ext xmlns:c16="http://schemas.microsoft.com/office/drawing/2014/chart" uri="{C3380CC4-5D6E-409C-BE32-E72D297353CC}">
              <c16:uniqueId val="{00000000-30C9-41EE-B57D-56CF411E023C}"/>
            </c:ext>
          </c:extLst>
        </c:ser>
        <c:dLbls>
          <c:showLegendKey val="0"/>
          <c:showVal val="0"/>
          <c:showCatName val="0"/>
          <c:showSerName val="0"/>
          <c:showPercent val="0"/>
          <c:showBubbleSize val="0"/>
        </c:dLbls>
        <c:gapWidth val="0"/>
        <c:axId val="628958912"/>
        <c:axId val="628961656"/>
      </c:barChart>
      <c:lineChart>
        <c:grouping val="standard"/>
        <c:varyColors val="0"/>
        <c:ser>
          <c:idx val="1"/>
          <c:order val="1"/>
          <c:tx>
            <c:v>Acumulado</c:v>
          </c:tx>
          <c:spPr>
            <a:ln w="28575" cap="rnd">
              <a:solidFill>
                <a:schemeClr val="accent2"/>
              </a:solidFill>
              <a:round/>
            </a:ln>
            <a:effectLst/>
          </c:spPr>
          <c:marker>
            <c:symbol val="none"/>
          </c:marker>
          <c:val>
            <c:numRef>
              <c:f>ARS!$O$660:$O$664</c:f>
              <c:numCache>
                <c:formatCode>#,##0.00</c:formatCode>
                <c:ptCount val="5"/>
                <c:pt idx="0">
                  <c:v>-15000000</c:v>
                </c:pt>
                <c:pt idx="1">
                  <c:v>-6812916.666666667</c:v>
                </c:pt>
                <c:pt idx="2">
                  <c:v>-688385.41666666698</c:v>
                </c:pt>
                <c:pt idx="3">
                  <c:v>4373059.895833333</c:v>
                </c:pt>
                <c:pt idx="4">
                  <c:v>8884625.651041666</c:v>
                </c:pt>
              </c:numCache>
            </c:numRef>
          </c:val>
          <c:smooth val="0"/>
          <c:extLst>
            <c:ext xmlns:c16="http://schemas.microsoft.com/office/drawing/2014/chart" uri="{C3380CC4-5D6E-409C-BE32-E72D297353CC}">
              <c16:uniqueId val="{00000001-30C9-41EE-B57D-56CF411E023C}"/>
            </c:ext>
          </c:extLst>
        </c:ser>
        <c:dLbls>
          <c:showLegendKey val="0"/>
          <c:showVal val="0"/>
          <c:showCatName val="0"/>
          <c:showSerName val="0"/>
          <c:showPercent val="0"/>
          <c:showBubbleSize val="0"/>
        </c:dLbls>
        <c:marker val="1"/>
        <c:smooth val="0"/>
        <c:axId val="628958912"/>
        <c:axId val="628961656"/>
      </c:lineChart>
      <c:dateAx>
        <c:axId val="628958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656"/>
        <c:crosses val="autoZero"/>
        <c:auto val="0"/>
        <c:lblOffset val="50"/>
        <c:baseTimeUnit val="months"/>
        <c:majorUnit val="6"/>
        <c:majorTimeUnit val="months"/>
      </c:dateAx>
      <c:valAx>
        <c:axId val="62896165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8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ARS!$H$773:$H$779</c:f>
              <c:numCache>
                <c:formatCode>dd/mm/yyyy;@</c:formatCode>
                <c:ptCount val="7"/>
                <c:pt idx="0">
                  <c:v>43222</c:v>
                </c:pt>
                <c:pt idx="1">
                  <c:v>43406</c:v>
                </c:pt>
                <c:pt idx="2">
                  <c:v>43587</c:v>
                </c:pt>
                <c:pt idx="3">
                  <c:v>43773</c:v>
                </c:pt>
                <c:pt idx="4">
                  <c:v>43955</c:v>
                </c:pt>
                <c:pt idx="5">
                  <c:v>44137</c:v>
                </c:pt>
                <c:pt idx="6">
                  <c:v>44319</c:v>
                </c:pt>
              </c:numCache>
            </c:numRef>
          </c:cat>
          <c:val>
            <c:numRef>
              <c:f>ARS!$M$773:$M$779</c:f>
              <c:numCache>
                <c:formatCode>#,##0.00</c:formatCode>
                <c:ptCount val="7"/>
                <c:pt idx="0">
                  <c:v>-20000000</c:v>
                </c:pt>
                <c:pt idx="1">
                  <c:v>4507361.1111111119</c:v>
                </c:pt>
                <c:pt idx="2">
                  <c:v>12451086.805555556</c:v>
                </c:pt>
                <c:pt idx="3">
                  <c:v>4030201.4999999995</c:v>
                </c:pt>
                <c:pt idx="4">
                  <c:v>9476186.7986111119</c:v>
                </c:pt>
                <c:pt idx="5">
                  <c:v>1029222.0069444443</c:v>
                </c:pt>
                <c:pt idx="6">
                  <c:v>8005883.2638888881</c:v>
                </c:pt>
              </c:numCache>
            </c:numRef>
          </c:val>
          <c:extLst>
            <c:ext xmlns:c16="http://schemas.microsoft.com/office/drawing/2014/chart" uri="{C3380CC4-5D6E-409C-BE32-E72D297353CC}">
              <c16:uniqueId val="{00000000-A737-44C8-A71F-37C4A0165A1C}"/>
            </c:ext>
          </c:extLst>
        </c:ser>
        <c:dLbls>
          <c:showLegendKey val="0"/>
          <c:showVal val="0"/>
          <c:showCatName val="0"/>
          <c:showSerName val="0"/>
          <c:showPercent val="0"/>
          <c:showBubbleSize val="0"/>
        </c:dLbls>
        <c:gapWidth val="0"/>
        <c:axId val="628960872"/>
        <c:axId val="628962832"/>
      </c:barChart>
      <c:lineChart>
        <c:grouping val="standard"/>
        <c:varyColors val="0"/>
        <c:ser>
          <c:idx val="1"/>
          <c:order val="1"/>
          <c:tx>
            <c:v>Acumulado</c:v>
          </c:tx>
          <c:spPr>
            <a:ln w="28575" cap="rnd">
              <a:solidFill>
                <a:schemeClr val="accent2"/>
              </a:solidFill>
              <a:round/>
            </a:ln>
            <a:effectLst/>
          </c:spPr>
          <c:marker>
            <c:symbol val="none"/>
          </c:marker>
          <c:val>
            <c:numRef>
              <c:f>ARS!$O$697:$O$703</c:f>
              <c:numCache>
                <c:formatCode>#,##0.00</c:formatCode>
                <c:ptCount val="7"/>
                <c:pt idx="0">
                  <c:v>-20000000</c:v>
                </c:pt>
                <c:pt idx="1">
                  <c:v>-15492638.888888888</c:v>
                </c:pt>
                <c:pt idx="2">
                  <c:v>-3041552.0833333321</c:v>
                </c:pt>
                <c:pt idx="3">
                  <c:v>988649.41666666744</c:v>
                </c:pt>
                <c:pt idx="4">
                  <c:v>10464836.21527778</c:v>
                </c:pt>
                <c:pt idx="5">
                  <c:v>11494058.222222224</c:v>
                </c:pt>
                <c:pt idx="6">
                  <c:v>19499941.486111112</c:v>
                </c:pt>
              </c:numCache>
            </c:numRef>
          </c:val>
          <c:smooth val="0"/>
          <c:extLst>
            <c:ext xmlns:c16="http://schemas.microsoft.com/office/drawing/2014/chart" uri="{C3380CC4-5D6E-409C-BE32-E72D297353CC}">
              <c16:uniqueId val="{00000001-A737-44C8-A71F-37C4A0165A1C}"/>
            </c:ext>
          </c:extLst>
        </c:ser>
        <c:dLbls>
          <c:showLegendKey val="0"/>
          <c:showVal val="0"/>
          <c:showCatName val="0"/>
          <c:showSerName val="0"/>
          <c:showPercent val="0"/>
          <c:showBubbleSize val="0"/>
        </c:dLbls>
        <c:marker val="1"/>
        <c:smooth val="0"/>
        <c:axId val="628960872"/>
        <c:axId val="628962832"/>
      </c:lineChart>
      <c:dateAx>
        <c:axId val="6289608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2832"/>
        <c:crosses val="autoZero"/>
        <c:auto val="0"/>
        <c:lblOffset val="50"/>
        <c:baseTimeUnit val="months"/>
        <c:majorUnit val="6"/>
        <c:majorTimeUnit val="months"/>
      </c:dateAx>
      <c:valAx>
        <c:axId val="628962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08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ARS!$H$810:$H$822</c:f>
              <c:numCache>
                <c:formatCode>dd/mm/yyyy;@</c:formatCode>
                <c:ptCount val="13"/>
                <c:pt idx="0">
                  <c:v>43342</c:v>
                </c:pt>
                <c:pt idx="1">
                  <c:v>43434</c:v>
                </c:pt>
                <c:pt idx="2">
                  <c:v>43524</c:v>
                </c:pt>
                <c:pt idx="3">
                  <c:v>43615</c:v>
                </c:pt>
                <c:pt idx="4">
                  <c:v>43707</c:v>
                </c:pt>
                <c:pt idx="5">
                  <c:v>43801</c:v>
                </c:pt>
                <c:pt idx="6">
                  <c:v>43892</c:v>
                </c:pt>
                <c:pt idx="7">
                  <c:v>43983</c:v>
                </c:pt>
                <c:pt idx="8">
                  <c:v>44074</c:v>
                </c:pt>
                <c:pt idx="9">
                  <c:v>44165</c:v>
                </c:pt>
                <c:pt idx="10">
                  <c:v>44256</c:v>
                </c:pt>
                <c:pt idx="11">
                  <c:v>44347</c:v>
                </c:pt>
                <c:pt idx="12">
                  <c:v>44438</c:v>
                </c:pt>
              </c:numCache>
            </c:numRef>
          </c:cat>
          <c:val>
            <c:numRef>
              <c:f>ARS!$M$810:$M$822</c:f>
              <c:numCache>
                <c:formatCode>#,##0.00</c:formatCode>
                <c:ptCount val="13"/>
                <c:pt idx="0">
                  <c:v>-19000000</c:v>
                </c:pt>
                <c:pt idx="1">
                  <c:v>4150075.0000000005</c:v>
                </c:pt>
                <c:pt idx="2">
                  <c:v>3883688.6171875</c:v>
                </c:pt>
                <c:pt idx="3">
                  <c:v>3765386.8984375</c:v>
                </c:pt>
                <c:pt idx="4">
                  <c:v>3964895.1878472222</c:v>
                </c:pt>
                <c:pt idx="5">
                  <c:v>3607858.4229166666</c:v>
                </c:pt>
                <c:pt idx="6">
                  <c:v>2960264.990885417</c:v>
                </c:pt>
                <c:pt idx="7">
                  <c:v>2537633.9041666663</c:v>
                </c:pt>
                <c:pt idx="8">
                  <c:v>2348571.3562499997</c:v>
                </c:pt>
                <c:pt idx="9">
                  <c:v>2254625.4208333334</c:v>
                </c:pt>
                <c:pt idx="10">
                  <c:v>2112390.8567708335</c:v>
                </c:pt>
                <c:pt idx="11">
                  <c:v>1937111.9809027778</c:v>
                </c:pt>
                <c:pt idx="12">
                  <c:v>1767804.81328125</c:v>
                </c:pt>
              </c:numCache>
            </c:numRef>
          </c:val>
          <c:extLst>
            <c:ext xmlns:c16="http://schemas.microsoft.com/office/drawing/2014/chart" uri="{C3380CC4-5D6E-409C-BE32-E72D297353CC}">
              <c16:uniqueId val="{00000000-80BF-494A-A18B-4A33BBA8415F}"/>
            </c:ext>
          </c:extLst>
        </c:ser>
        <c:dLbls>
          <c:showLegendKey val="0"/>
          <c:showVal val="0"/>
          <c:showCatName val="0"/>
          <c:showSerName val="0"/>
          <c:showPercent val="0"/>
          <c:showBubbleSize val="0"/>
        </c:dLbls>
        <c:gapWidth val="0"/>
        <c:axId val="628963224"/>
        <c:axId val="628964792"/>
      </c:barChart>
      <c:lineChart>
        <c:grouping val="standard"/>
        <c:varyColors val="0"/>
        <c:ser>
          <c:idx val="1"/>
          <c:order val="1"/>
          <c:tx>
            <c:v>Acumulado</c:v>
          </c:tx>
          <c:spPr>
            <a:ln w="28575" cap="rnd">
              <a:solidFill>
                <a:schemeClr val="accent2"/>
              </a:solidFill>
              <a:round/>
            </a:ln>
            <a:effectLst/>
          </c:spPr>
          <c:marker>
            <c:symbol val="none"/>
          </c:marker>
          <c:val>
            <c:numRef>
              <c:f>ARS!$O$734:$O$746</c:f>
              <c:numCache>
                <c:formatCode>#,##0.00</c:formatCode>
                <c:ptCount val="13"/>
                <c:pt idx="0">
                  <c:v>-19000000</c:v>
                </c:pt>
                <c:pt idx="1">
                  <c:v>-14849925</c:v>
                </c:pt>
                <c:pt idx="2">
                  <c:v>-10966236.3828125</c:v>
                </c:pt>
                <c:pt idx="3">
                  <c:v>-7200849.484375</c:v>
                </c:pt>
                <c:pt idx="4">
                  <c:v>-3235954.2965277778</c:v>
                </c:pt>
                <c:pt idx="5">
                  <c:v>371904.12638888881</c:v>
                </c:pt>
                <c:pt idx="6">
                  <c:v>3332169.1172743058</c:v>
                </c:pt>
                <c:pt idx="7">
                  <c:v>5869803.0214409716</c:v>
                </c:pt>
                <c:pt idx="8">
                  <c:v>8218374.3776909709</c:v>
                </c:pt>
                <c:pt idx="9">
                  <c:v>10472999.798524305</c:v>
                </c:pt>
                <c:pt idx="10">
                  <c:v>12585390.655295139</c:v>
                </c:pt>
                <c:pt idx="11">
                  <c:v>14522502.636197917</c:v>
                </c:pt>
                <c:pt idx="12">
                  <c:v>16290307.449479166</c:v>
                </c:pt>
              </c:numCache>
            </c:numRef>
          </c:val>
          <c:smooth val="0"/>
          <c:extLst>
            <c:ext xmlns:c16="http://schemas.microsoft.com/office/drawing/2014/chart" uri="{C3380CC4-5D6E-409C-BE32-E72D297353CC}">
              <c16:uniqueId val="{00000001-80BF-494A-A18B-4A33BBA8415F}"/>
            </c:ext>
          </c:extLst>
        </c:ser>
        <c:dLbls>
          <c:showLegendKey val="0"/>
          <c:showVal val="0"/>
          <c:showCatName val="0"/>
          <c:showSerName val="0"/>
          <c:showPercent val="0"/>
          <c:showBubbleSize val="0"/>
        </c:dLbls>
        <c:marker val="1"/>
        <c:smooth val="0"/>
        <c:axId val="628963224"/>
        <c:axId val="628964792"/>
      </c:lineChart>
      <c:dateAx>
        <c:axId val="6289632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792"/>
        <c:crosses val="autoZero"/>
        <c:auto val="0"/>
        <c:lblOffset val="50"/>
        <c:baseTimeUnit val="months"/>
        <c:majorUnit val="6"/>
        <c:majorTimeUnit val="months"/>
      </c:dateAx>
      <c:valAx>
        <c:axId val="628964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2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ARS!$H$853:$H$860</c:f>
              <c:numCache>
                <c:formatCode>dd/mm/yyyy;@</c:formatCode>
                <c:ptCount val="8"/>
                <c:pt idx="0">
                  <c:v>43615</c:v>
                </c:pt>
                <c:pt idx="1">
                  <c:v>43801</c:v>
                </c:pt>
                <c:pt idx="2">
                  <c:v>43892</c:v>
                </c:pt>
                <c:pt idx="3">
                  <c:v>43983</c:v>
                </c:pt>
                <c:pt idx="4">
                  <c:v>44074</c:v>
                </c:pt>
                <c:pt idx="5">
                  <c:v>44165</c:v>
                </c:pt>
                <c:pt idx="6">
                  <c:v>44256</c:v>
                </c:pt>
                <c:pt idx="7">
                  <c:v>44347</c:v>
                </c:pt>
              </c:numCache>
            </c:numRef>
          </c:cat>
          <c:val>
            <c:numRef>
              <c:f>ARS!$M$853:$M$860</c:f>
              <c:numCache>
                <c:formatCode>#,##0.00</c:formatCode>
                <c:ptCount val="8"/>
                <c:pt idx="0">
                  <c:v>-23538460</c:v>
                </c:pt>
                <c:pt idx="1">
                  <c:v>10409883.934999999</c:v>
                </c:pt>
                <c:pt idx="2">
                  <c:v>5759539.5514440974</c:v>
                </c:pt>
                <c:pt idx="3">
                  <c:v>4955434.2915000003</c:v>
                </c:pt>
                <c:pt idx="4">
                  <c:v>4580881.8159805555</c:v>
                </c:pt>
                <c:pt idx="5">
                  <c:v>4367128.0799513888</c:v>
                </c:pt>
                <c:pt idx="6">
                  <c:v>4064049.9747604174</c:v>
                </c:pt>
                <c:pt idx="7">
                  <c:v>4177298.5731277782</c:v>
                </c:pt>
              </c:numCache>
            </c:numRef>
          </c:val>
          <c:extLst>
            <c:ext xmlns:c16="http://schemas.microsoft.com/office/drawing/2014/chart" uri="{C3380CC4-5D6E-409C-BE32-E72D297353CC}">
              <c16:uniqueId val="{00000000-29A7-48ED-B448-A3266083FD73}"/>
            </c:ext>
          </c:extLst>
        </c:ser>
        <c:dLbls>
          <c:showLegendKey val="0"/>
          <c:showVal val="0"/>
          <c:showCatName val="0"/>
          <c:showSerName val="0"/>
          <c:showPercent val="0"/>
          <c:showBubbleSize val="0"/>
        </c:dLbls>
        <c:gapWidth val="0"/>
        <c:axId val="628959304"/>
        <c:axId val="628960088"/>
      </c:barChart>
      <c:lineChart>
        <c:grouping val="standard"/>
        <c:varyColors val="0"/>
        <c:ser>
          <c:idx val="1"/>
          <c:order val="1"/>
          <c:tx>
            <c:v>Acumulado</c:v>
          </c:tx>
          <c:spPr>
            <a:ln w="28575" cap="rnd">
              <a:solidFill>
                <a:schemeClr val="accent2"/>
              </a:solidFill>
              <a:round/>
            </a:ln>
            <a:effectLst/>
          </c:spPr>
          <c:marker>
            <c:symbol val="none"/>
          </c:marker>
          <c:val>
            <c:numRef>
              <c:f>ARS!$O$777:$O$784</c:f>
              <c:numCache>
                <c:formatCode>#,##0.00</c:formatCode>
                <c:ptCount val="8"/>
                <c:pt idx="0">
                  <c:v>-23538460</c:v>
                </c:pt>
                <c:pt idx="1">
                  <c:v>-13128576.065000001</c:v>
                </c:pt>
                <c:pt idx="2">
                  <c:v>-7369036.5135559039</c:v>
                </c:pt>
                <c:pt idx="3">
                  <c:v>-2413602.2220559036</c:v>
                </c:pt>
                <c:pt idx="4">
                  <c:v>2167279.5939246519</c:v>
                </c:pt>
                <c:pt idx="5">
                  <c:v>6534407.6738760406</c:v>
                </c:pt>
                <c:pt idx="6">
                  <c:v>10598457.648636458</c:v>
                </c:pt>
                <c:pt idx="7">
                  <c:v>14775756.221764237</c:v>
                </c:pt>
              </c:numCache>
            </c:numRef>
          </c:val>
          <c:smooth val="0"/>
          <c:extLst>
            <c:ext xmlns:c16="http://schemas.microsoft.com/office/drawing/2014/chart" uri="{C3380CC4-5D6E-409C-BE32-E72D297353CC}">
              <c16:uniqueId val="{00000001-29A7-48ED-B448-A3266083FD73}"/>
            </c:ext>
          </c:extLst>
        </c:ser>
        <c:dLbls>
          <c:showLegendKey val="0"/>
          <c:showVal val="0"/>
          <c:showCatName val="0"/>
          <c:showSerName val="0"/>
          <c:showPercent val="0"/>
          <c:showBubbleSize val="0"/>
        </c:dLbls>
        <c:marker val="1"/>
        <c:smooth val="0"/>
        <c:axId val="628959304"/>
        <c:axId val="628960088"/>
      </c:lineChart>
      <c:dateAx>
        <c:axId val="628959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0088"/>
        <c:crosses val="autoZero"/>
        <c:auto val="0"/>
        <c:lblOffset val="50"/>
        <c:baseTimeUnit val="months"/>
        <c:majorUnit val="6"/>
        <c:majorTimeUnit val="months"/>
      </c:dateAx>
      <c:valAx>
        <c:axId val="628960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59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ARS!$H$891:$H$899</c:f>
              <c:numCache>
                <c:formatCode>dd/mm/yyyy;@</c:formatCode>
                <c:ptCount val="9"/>
                <c:pt idx="0">
                  <c:v>43481</c:v>
                </c:pt>
                <c:pt idx="1">
                  <c:v>43571</c:v>
                </c:pt>
                <c:pt idx="2">
                  <c:v>43662</c:v>
                </c:pt>
                <c:pt idx="3">
                  <c:v>43754</c:v>
                </c:pt>
                <c:pt idx="4">
                  <c:v>43846</c:v>
                </c:pt>
                <c:pt idx="5">
                  <c:v>43937</c:v>
                </c:pt>
                <c:pt idx="6">
                  <c:v>44028</c:v>
                </c:pt>
                <c:pt idx="7">
                  <c:v>44120</c:v>
                </c:pt>
                <c:pt idx="8">
                  <c:v>44214</c:v>
                </c:pt>
              </c:numCache>
            </c:numRef>
          </c:cat>
          <c:val>
            <c:numRef>
              <c:f>ARS!$M$891:$M$899</c:f>
              <c:numCache>
                <c:formatCode>#,##0.00</c:formatCode>
                <c:ptCount val="9"/>
                <c:pt idx="0">
                  <c:v>-4000000</c:v>
                </c:pt>
                <c:pt idx="1">
                  <c:v>542500</c:v>
                </c:pt>
                <c:pt idx="2">
                  <c:v>552635.41666666674</c:v>
                </c:pt>
                <c:pt idx="3">
                  <c:v>612375.00000000012</c:v>
                </c:pt>
                <c:pt idx="4">
                  <c:v>2562222.222222222</c:v>
                </c:pt>
                <c:pt idx="5">
                  <c:v>190373.26388888891</c:v>
                </c:pt>
                <c:pt idx="6">
                  <c:v>168887.15277777778</c:v>
                </c:pt>
                <c:pt idx="7">
                  <c:v>187673.61111111112</c:v>
                </c:pt>
                <c:pt idx="8">
                  <c:v>2202361.111111111</c:v>
                </c:pt>
              </c:numCache>
            </c:numRef>
          </c:val>
          <c:extLst>
            <c:ext xmlns:c16="http://schemas.microsoft.com/office/drawing/2014/chart" uri="{C3380CC4-5D6E-409C-BE32-E72D297353CC}">
              <c16:uniqueId val="{00000000-2DD0-4F2C-9F41-6F7A7BA4CDE8}"/>
            </c:ext>
          </c:extLst>
        </c:ser>
        <c:dLbls>
          <c:showLegendKey val="0"/>
          <c:showVal val="0"/>
          <c:showCatName val="0"/>
          <c:showSerName val="0"/>
          <c:showPercent val="0"/>
          <c:showBubbleSize val="0"/>
        </c:dLbls>
        <c:gapWidth val="0"/>
        <c:axId val="628962440"/>
        <c:axId val="628961264"/>
      </c:barChart>
      <c:lineChart>
        <c:grouping val="standard"/>
        <c:varyColors val="0"/>
        <c:ser>
          <c:idx val="1"/>
          <c:order val="1"/>
          <c:tx>
            <c:v>Acumulado</c:v>
          </c:tx>
          <c:spPr>
            <a:ln w="28575" cap="rnd">
              <a:solidFill>
                <a:schemeClr val="accent2"/>
              </a:solidFill>
              <a:round/>
            </a:ln>
            <a:effectLst/>
          </c:spPr>
          <c:marker>
            <c:symbol val="none"/>
          </c:marker>
          <c:val>
            <c:numRef>
              <c:f>ARS!$O$815:$O$823</c:f>
              <c:numCache>
                <c:formatCode>#,##0.00</c:formatCode>
                <c:ptCount val="9"/>
                <c:pt idx="0">
                  <c:v>-4000000</c:v>
                </c:pt>
                <c:pt idx="1">
                  <c:v>-3457500</c:v>
                </c:pt>
                <c:pt idx="2">
                  <c:v>-2904864.583333333</c:v>
                </c:pt>
                <c:pt idx="3">
                  <c:v>-2292489.583333333</c:v>
                </c:pt>
                <c:pt idx="4">
                  <c:v>269732.63888888899</c:v>
                </c:pt>
                <c:pt idx="5">
                  <c:v>460105.90277777787</c:v>
                </c:pt>
                <c:pt idx="6">
                  <c:v>628993.05555555562</c:v>
                </c:pt>
                <c:pt idx="7">
                  <c:v>816666.66666666674</c:v>
                </c:pt>
                <c:pt idx="8">
                  <c:v>3019027.777777778</c:v>
                </c:pt>
              </c:numCache>
            </c:numRef>
          </c:val>
          <c:smooth val="0"/>
          <c:extLst>
            <c:ext xmlns:c16="http://schemas.microsoft.com/office/drawing/2014/chart" uri="{C3380CC4-5D6E-409C-BE32-E72D297353CC}">
              <c16:uniqueId val="{00000001-2DD0-4F2C-9F41-6F7A7BA4CDE8}"/>
            </c:ext>
          </c:extLst>
        </c:ser>
        <c:dLbls>
          <c:showLegendKey val="0"/>
          <c:showVal val="0"/>
          <c:showCatName val="0"/>
          <c:showSerName val="0"/>
          <c:showPercent val="0"/>
          <c:showBubbleSize val="0"/>
        </c:dLbls>
        <c:marker val="1"/>
        <c:smooth val="0"/>
        <c:axId val="628962440"/>
        <c:axId val="628961264"/>
      </c:lineChart>
      <c:dateAx>
        <c:axId val="628962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1264"/>
        <c:crosses val="autoZero"/>
        <c:auto val="0"/>
        <c:lblOffset val="50"/>
        <c:baseTimeUnit val="months"/>
        <c:majorUnit val="6"/>
        <c:majorTimeUnit val="months"/>
      </c:dateAx>
      <c:valAx>
        <c:axId val="62896126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2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ARS!$H$1096:$H$1102</c:f>
              <c:numCache>
                <c:formatCode>dd/mm/yyyy;@</c:formatCode>
                <c:ptCount val="7"/>
                <c:pt idx="0">
                  <c:v>44183</c:v>
                </c:pt>
                <c:pt idx="1">
                  <c:v>44365</c:v>
                </c:pt>
                <c:pt idx="2">
                  <c:v>44548</c:v>
                </c:pt>
                <c:pt idx="3">
                  <c:v>44730</c:v>
                </c:pt>
                <c:pt idx="4">
                  <c:v>44913</c:v>
                </c:pt>
              </c:numCache>
            </c:numRef>
          </c:cat>
          <c:val>
            <c:numRef>
              <c:f>ARS!$M$1096:$M$1102</c:f>
              <c:numCache>
                <c:formatCode>#,##0.00</c:formatCode>
                <c:ptCount val="7"/>
                <c:pt idx="0">
                  <c:v>1204594.7488584453</c:v>
                </c:pt>
                <c:pt idx="1">
                  <c:v>1094657.5342465735</c:v>
                </c:pt>
                <c:pt idx="2">
                  <c:v>1156546.8036529666</c:v>
                </c:pt>
                <c:pt idx="3">
                  <c:v>880662.10045661998</c:v>
                </c:pt>
                <c:pt idx="4">
                  <c:v>774252.28310502227</c:v>
                </c:pt>
              </c:numCache>
            </c:numRef>
          </c:val>
          <c:extLst>
            <c:ext xmlns:c16="http://schemas.microsoft.com/office/drawing/2014/chart" uri="{C3380CC4-5D6E-409C-BE32-E72D297353CC}">
              <c16:uniqueId val="{00000000-60F8-45B4-9B1F-426D6439FED6}"/>
            </c:ext>
          </c:extLst>
        </c:ser>
        <c:dLbls>
          <c:showLegendKey val="0"/>
          <c:showVal val="0"/>
          <c:showCatName val="0"/>
          <c:showSerName val="0"/>
          <c:showPercent val="0"/>
          <c:showBubbleSize val="0"/>
        </c:dLbls>
        <c:gapWidth val="0"/>
        <c:axId val="628963616"/>
        <c:axId val="628964008"/>
      </c:barChart>
      <c:lineChart>
        <c:grouping val="standard"/>
        <c:varyColors val="0"/>
        <c:ser>
          <c:idx val="1"/>
          <c:order val="1"/>
          <c:tx>
            <c:v>Acumulado</c:v>
          </c:tx>
          <c:spPr>
            <a:ln w="28575" cap="rnd">
              <a:solidFill>
                <a:schemeClr val="accent2"/>
              </a:solidFill>
              <a:round/>
            </a:ln>
            <a:effectLst/>
          </c:spPr>
          <c:marker>
            <c:symbol val="none"/>
          </c:marker>
          <c:val>
            <c:numRef>
              <c:f>ARS!$O$900:$O$906</c:f>
              <c:numCache>
                <c:formatCode>#,##0.00</c:formatCode>
                <c:ptCount val="7"/>
                <c:pt idx="0">
                  <c:v>1204594.7488584453</c:v>
                </c:pt>
                <c:pt idx="1">
                  <c:v>2299252.2831050185</c:v>
                </c:pt>
                <c:pt idx="2">
                  <c:v>3455799.0867579849</c:v>
                </c:pt>
                <c:pt idx="3">
                  <c:v>4336461.1872146046</c:v>
                </c:pt>
                <c:pt idx="4">
                  <c:v>5110713.4703196269</c:v>
                </c:pt>
                <c:pt idx="5">
                  <c:v>5110713.4703196269</c:v>
                </c:pt>
                <c:pt idx="6">
                  <c:v>5110713.4703196269</c:v>
                </c:pt>
              </c:numCache>
            </c:numRef>
          </c:val>
          <c:smooth val="0"/>
          <c:extLst>
            <c:ext xmlns:c16="http://schemas.microsoft.com/office/drawing/2014/chart" uri="{C3380CC4-5D6E-409C-BE32-E72D297353CC}">
              <c16:uniqueId val="{00000001-60F8-45B4-9B1F-426D6439FED6}"/>
            </c:ext>
          </c:extLst>
        </c:ser>
        <c:dLbls>
          <c:showLegendKey val="0"/>
          <c:showVal val="0"/>
          <c:showCatName val="0"/>
          <c:showSerName val="0"/>
          <c:showPercent val="0"/>
          <c:showBubbleSize val="0"/>
        </c:dLbls>
        <c:marker val="1"/>
        <c:smooth val="0"/>
        <c:axId val="628963616"/>
        <c:axId val="628964008"/>
      </c:lineChart>
      <c:dateAx>
        <c:axId val="628963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8964008"/>
        <c:crosses val="autoZero"/>
        <c:auto val="0"/>
        <c:lblOffset val="50"/>
        <c:baseTimeUnit val="months"/>
        <c:majorUnit val="6"/>
        <c:majorTimeUnit val="months"/>
      </c:dateAx>
      <c:valAx>
        <c:axId val="6289640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89636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ARS!$H$1573:$H$1579</c:f>
              <c:numCache>
                <c:formatCode>dd/mm/yyyy;@</c:formatCode>
                <c:ptCount val="7"/>
                <c:pt idx="0">
                  <c:v>43097</c:v>
                </c:pt>
                <c:pt idx="1">
                  <c:v>43279</c:v>
                </c:pt>
                <c:pt idx="2">
                  <c:v>43462</c:v>
                </c:pt>
                <c:pt idx="3">
                  <c:v>43644</c:v>
                </c:pt>
                <c:pt idx="4">
                  <c:v>43829</c:v>
                </c:pt>
                <c:pt idx="5">
                  <c:v>44011</c:v>
                </c:pt>
                <c:pt idx="6">
                  <c:v>44193</c:v>
                </c:pt>
              </c:numCache>
            </c:numRef>
          </c:cat>
          <c:val>
            <c:numRef>
              <c:f>ARS!$M$1573:$M$1579</c:f>
              <c:numCache>
                <c:formatCode>#,##0.00</c:formatCode>
                <c:ptCount val="7"/>
                <c:pt idx="0">
                  <c:v>-20000000</c:v>
                </c:pt>
                <c:pt idx="1">
                  <c:v>3437777.777777778</c:v>
                </c:pt>
                <c:pt idx="2">
                  <c:v>7456666.666666667</c:v>
                </c:pt>
                <c:pt idx="3">
                  <c:v>6750222.222222222</c:v>
                </c:pt>
                <c:pt idx="4">
                  <c:v>6096666.666666667</c:v>
                </c:pt>
                <c:pt idx="5">
                  <c:v>5375111.111111111</c:v>
                </c:pt>
                <c:pt idx="6">
                  <c:v>4687555.555555556</c:v>
                </c:pt>
              </c:numCache>
            </c:numRef>
          </c:val>
          <c:extLst>
            <c:ext xmlns:c16="http://schemas.microsoft.com/office/drawing/2014/chart" uri="{C3380CC4-5D6E-409C-BE32-E72D297353CC}">
              <c16:uniqueId val="{00000000-87AE-4131-BBC6-D7F7B238F78C}"/>
            </c:ext>
          </c:extLst>
        </c:ser>
        <c:dLbls>
          <c:showLegendKey val="0"/>
          <c:showVal val="0"/>
          <c:showCatName val="0"/>
          <c:showSerName val="0"/>
          <c:showPercent val="0"/>
          <c:showBubbleSize val="0"/>
        </c:dLbls>
        <c:gapWidth val="0"/>
        <c:axId val="620170592"/>
        <c:axId val="620169024"/>
      </c:barChart>
      <c:lineChart>
        <c:grouping val="standard"/>
        <c:varyColors val="0"/>
        <c:ser>
          <c:idx val="1"/>
          <c:order val="1"/>
          <c:tx>
            <c:v>Acumulado</c:v>
          </c:tx>
          <c:spPr>
            <a:ln w="28575" cap="rnd">
              <a:solidFill>
                <a:schemeClr val="accent2"/>
              </a:solidFill>
              <a:round/>
            </a:ln>
            <a:effectLst/>
          </c:spPr>
          <c:marker>
            <c:symbol val="none"/>
          </c:marker>
          <c:val>
            <c:numRef>
              <c:f>ARS!$O$1465:$O$1471</c:f>
              <c:numCache>
                <c:formatCode>#,##0.00</c:formatCode>
                <c:ptCount val="7"/>
                <c:pt idx="0">
                  <c:v>-20000000</c:v>
                </c:pt>
                <c:pt idx="1">
                  <c:v>-16562222.222222222</c:v>
                </c:pt>
                <c:pt idx="2">
                  <c:v>-9105555.555555556</c:v>
                </c:pt>
                <c:pt idx="3">
                  <c:v>-2355333.333333334</c:v>
                </c:pt>
                <c:pt idx="4">
                  <c:v>3741333.333333333</c:v>
                </c:pt>
                <c:pt idx="5">
                  <c:v>9116444.444444444</c:v>
                </c:pt>
                <c:pt idx="6">
                  <c:v>13804000</c:v>
                </c:pt>
              </c:numCache>
            </c:numRef>
          </c:val>
          <c:smooth val="0"/>
          <c:extLst>
            <c:ext xmlns:c16="http://schemas.microsoft.com/office/drawing/2014/chart" uri="{C3380CC4-5D6E-409C-BE32-E72D297353CC}">
              <c16:uniqueId val="{00000001-87AE-4131-BBC6-D7F7B238F78C}"/>
            </c:ext>
          </c:extLst>
        </c:ser>
        <c:dLbls>
          <c:showLegendKey val="0"/>
          <c:showVal val="0"/>
          <c:showCatName val="0"/>
          <c:showSerName val="0"/>
          <c:showPercent val="0"/>
          <c:showBubbleSize val="0"/>
        </c:dLbls>
        <c:marker val="1"/>
        <c:smooth val="0"/>
        <c:axId val="620170592"/>
        <c:axId val="620169024"/>
      </c:lineChart>
      <c:dateAx>
        <c:axId val="6201705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024"/>
        <c:crosses val="autoZero"/>
        <c:auto val="0"/>
        <c:lblOffset val="50"/>
        <c:baseTimeUnit val="months"/>
        <c:majorUnit val="6"/>
        <c:majorTimeUnit val="months"/>
      </c:dateAx>
      <c:valAx>
        <c:axId val="620169024"/>
        <c:scaling>
          <c:orientation val="minMax"/>
          <c:max val="20000000"/>
          <c:min val="-2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70592"/>
        <c:crosses val="autoZero"/>
        <c:crossBetween val="between"/>
        <c:majorUnit val="5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5F3D-4530-AEA1-A6C6712CADD3}"/>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5F3D-4530-AEA1-A6C6712CADD3}"/>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5F3D-4530-AEA1-A6C6712CADD3}"/>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7</c:v>
                </c:pt>
                <c:pt idx="1">
                  <c:v>1</c:v>
                </c:pt>
                <c:pt idx="2">
                  <c:v>1</c:v>
                </c:pt>
                <c:pt idx="3">
                  <c:v>0</c:v>
                </c:pt>
              </c:numCache>
            </c:numRef>
          </c:val>
          <c:extLst>
            <c:ext xmlns:c16="http://schemas.microsoft.com/office/drawing/2014/chart" uri="{C3380CC4-5D6E-409C-BE32-E72D297353CC}">
              <c16:uniqueId val="{00000006-5F3D-4530-AEA1-A6C6712CADD3}"/>
            </c:ext>
          </c:extLst>
        </c:ser>
        <c:dLbls>
          <c:dLblPos val="outEnd"/>
          <c:showLegendKey val="0"/>
          <c:showVal val="1"/>
          <c:showCatName val="0"/>
          <c:showSerName val="0"/>
          <c:showPercent val="0"/>
          <c:showBubbleSize val="0"/>
        </c:dLbls>
        <c:gapWidth val="150"/>
        <c:overlap val="-27"/>
        <c:axId val="605822256"/>
        <c:axId val="605822648"/>
      </c:barChart>
      <c:catAx>
        <c:axId val="605822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s-AR"/>
          </a:p>
        </c:txPr>
        <c:crossAx val="605822648"/>
        <c:crosses val="autoZero"/>
        <c:auto val="1"/>
        <c:lblAlgn val="ctr"/>
        <c:lblOffset val="100"/>
        <c:noMultiLvlLbl val="0"/>
      </c:catAx>
      <c:valAx>
        <c:axId val="605822648"/>
        <c:scaling>
          <c:orientation val="minMax"/>
        </c:scaling>
        <c:delete val="1"/>
        <c:axPos val="l"/>
        <c:numFmt formatCode="0" sourceLinked="1"/>
        <c:majorTickMark val="none"/>
        <c:minorTickMark val="none"/>
        <c:tickLblPos val="nextTo"/>
        <c:crossAx val="605822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ARS!$H$1675:$H$1681</c:f>
              <c:numCache>
                <c:formatCode>dd/mm/yyyy;@</c:formatCode>
                <c:ptCount val="7"/>
                <c:pt idx="0">
                  <c:v>43460</c:v>
                </c:pt>
                <c:pt idx="1">
                  <c:v>43550</c:v>
                </c:pt>
                <c:pt idx="2">
                  <c:v>43642</c:v>
                </c:pt>
                <c:pt idx="3">
                  <c:v>43734</c:v>
                </c:pt>
                <c:pt idx="4">
                  <c:v>43825</c:v>
                </c:pt>
                <c:pt idx="5">
                  <c:v>43916</c:v>
                </c:pt>
                <c:pt idx="6">
                  <c:v>44008</c:v>
                </c:pt>
              </c:numCache>
            </c:numRef>
          </c:cat>
          <c:val>
            <c:numRef>
              <c:f>ARS!$M$1675:$M$1681</c:f>
              <c:numCache>
                <c:formatCode>#,##0.00</c:formatCode>
                <c:ptCount val="7"/>
                <c:pt idx="0">
                  <c:v>-40000000</c:v>
                </c:pt>
                <c:pt idx="1">
                  <c:v>9500000</c:v>
                </c:pt>
                <c:pt idx="2">
                  <c:v>9177875</c:v>
                </c:pt>
                <c:pt idx="3">
                  <c:v>9282333.3333333321</c:v>
                </c:pt>
                <c:pt idx="4">
                  <c:v>8224548.611111111</c:v>
                </c:pt>
                <c:pt idx="5">
                  <c:v>6692083.333333333</c:v>
                </c:pt>
                <c:pt idx="6">
                  <c:v>5975763.888888889</c:v>
                </c:pt>
              </c:numCache>
            </c:numRef>
          </c:val>
          <c:extLst>
            <c:ext xmlns:c16="http://schemas.microsoft.com/office/drawing/2014/chart" uri="{C3380CC4-5D6E-409C-BE32-E72D297353CC}">
              <c16:uniqueId val="{00000000-C26D-4A30-8916-D26A07B5574D}"/>
            </c:ext>
          </c:extLst>
        </c:ser>
        <c:dLbls>
          <c:showLegendKey val="0"/>
          <c:showVal val="0"/>
          <c:showCatName val="0"/>
          <c:showSerName val="0"/>
          <c:showPercent val="0"/>
          <c:showBubbleSize val="0"/>
        </c:dLbls>
        <c:gapWidth val="0"/>
        <c:axId val="620167848"/>
        <c:axId val="620165104"/>
      </c:barChart>
      <c:lineChart>
        <c:grouping val="standard"/>
        <c:varyColors val="0"/>
        <c:ser>
          <c:idx val="1"/>
          <c:order val="1"/>
          <c:tx>
            <c:v>Acumulado</c:v>
          </c:tx>
          <c:spPr>
            <a:ln w="28575" cap="rnd">
              <a:solidFill>
                <a:schemeClr val="accent2"/>
              </a:solidFill>
              <a:round/>
            </a:ln>
            <a:effectLst/>
          </c:spPr>
          <c:marker>
            <c:symbol val="none"/>
          </c:marker>
          <c:val>
            <c:numRef>
              <c:f>ARS!$O$1563:$O$1569</c:f>
              <c:numCache>
                <c:formatCode>#,##0.00</c:formatCode>
                <c:ptCount val="7"/>
                <c:pt idx="0">
                  <c:v>-40000000</c:v>
                </c:pt>
                <c:pt idx="1">
                  <c:v>-30500000</c:v>
                </c:pt>
                <c:pt idx="2">
                  <c:v>-21322125</c:v>
                </c:pt>
                <c:pt idx="3">
                  <c:v>-12039791.666666668</c:v>
                </c:pt>
                <c:pt idx="4">
                  <c:v>-3815243.0555555569</c:v>
                </c:pt>
                <c:pt idx="5">
                  <c:v>2876840.2777777761</c:v>
                </c:pt>
                <c:pt idx="6">
                  <c:v>8852604.1666666642</c:v>
                </c:pt>
              </c:numCache>
            </c:numRef>
          </c:val>
          <c:smooth val="0"/>
          <c:extLst>
            <c:ext xmlns:c16="http://schemas.microsoft.com/office/drawing/2014/chart" uri="{C3380CC4-5D6E-409C-BE32-E72D297353CC}">
              <c16:uniqueId val="{00000001-C26D-4A30-8916-D26A07B5574D}"/>
            </c:ext>
          </c:extLst>
        </c:ser>
        <c:dLbls>
          <c:showLegendKey val="0"/>
          <c:showVal val="0"/>
          <c:showCatName val="0"/>
          <c:showSerName val="0"/>
          <c:showPercent val="0"/>
          <c:showBubbleSize val="0"/>
        </c:dLbls>
        <c:marker val="1"/>
        <c:smooth val="0"/>
        <c:axId val="620167848"/>
        <c:axId val="620165104"/>
      </c:lineChart>
      <c:dateAx>
        <c:axId val="62016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104"/>
        <c:crosses val="autoZero"/>
        <c:auto val="0"/>
        <c:lblOffset val="50"/>
        <c:baseTimeUnit val="months"/>
        <c:majorUnit val="3"/>
        <c:majorTimeUnit val="months"/>
      </c:dateAx>
      <c:valAx>
        <c:axId val="620165104"/>
        <c:scaling>
          <c:orientation val="minMax"/>
          <c:min val="-4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784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ARS!$H$2301:$H$2307</c:f>
              <c:numCache>
                <c:formatCode>dd/mm/yyyy;@</c:formatCode>
                <c:ptCount val="7"/>
                <c:pt idx="0">
                  <c:v>43270</c:v>
                </c:pt>
                <c:pt idx="1">
                  <c:v>43453</c:v>
                </c:pt>
                <c:pt idx="2">
                  <c:v>43635</c:v>
                </c:pt>
                <c:pt idx="3">
                  <c:v>43818</c:v>
                </c:pt>
                <c:pt idx="4">
                  <c:v>44001</c:v>
                </c:pt>
                <c:pt idx="5">
                  <c:v>44186</c:v>
                </c:pt>
                <c:pt idx="6">
                  <c:v>44368</c:v>
                </c:pt>
              </c:numCache>
            </c:numRef>
          </c:cat>
          <c:val>
            <c:numRef>
              <c:f>ARS!$M$2301:$M$2307</c:f>
              <c:numCache>
                <c:formatCode>#,##0.00</c:formatCode>
                <c:ptCount val="7"/>
                <c:pt idx="0">
                  <c:v>-25000000</c:v>
                </c:pt>
                <c:pt idx="1">
                  <c:v>8452083.333333334</c:v>
                </c:pt>
                <c:pt idx="2">
                  <c:v>7724930.555555556</c:v>
                </c:pt>
                <c:pt idx="3">
                  <c:v>7041458.333333334</c:v>
                </c:pt>
                <c:pt idx="4">
                  <c:v>6336145.833333334</c:v>
                </c:pt>
                <c:pt idx="5">
                  <c:v>5651388.888888889</c:v>
                </c:pt>
                <c:pt idx="6">
                  <c:v>7419097.222222222</c:v>
                </c:pt>
              </c:numCache>
            </c:numRef>
          </c:val>
          <c:extLst>
            <c:ext xmlns:c16="http://schemas.microsoft.com/office/drawing/2014/chart" uri="{C3380CC4-5D6E-409C-BE32-E72D297353CC}">
              <c16:uniqueId val="{00000000-02CF-48FB-B7C2-919D0282442F}"/>
            </c:ext>
          </c:extLst>
        </c:ser>
        <c:dLbls>
          <c:showLegendKey val="0"/>
          <c:showVal val="0"/>
          <c:showCatName val="0"/>
          <c:showSerName val="0"/>
          <c:showPercent val="0"/>
          <c:showBubbleSize val="0"/>
        </c:dLbls>
        <c:gapWidth val="0"/>
        <c:axId val="620169416"/>
        <c:axId val="620166672"/>
      </c:barChart>
      <c:lineChart>
        <c:grouping val="standard"/>
        <c:varyColors val="0"/>
        <c:ser>
          <c:idx val="1"/>
          <c:order val="1"/>
          <c:tx>
            <c:v>Acumulado</c:v>
          </c:tx>
          <c:spPr>
            <a:ln w="28575" cap="rnd">
              <a:solidFill>
                <a:schemeClr val="accent2"/>
              </a:solidFill>
              <a:round/>
            </a:ln>
            <a:effectLst/>
          </c:spPr>
          <c:marker>
            <c:symbol val="none"/>
          </c:marker>
          <c:val>
            <c:numRef>
              <c:f>ARS!$O$2151:$O$2155</c:f>
              <c:numCache>
                <c:formatCode>#,##0.00</c:formatCode>
                <c:ptCount val="5"/>
                <c:pt idx="0">
                  <c:v>-25000000</c:v>
                </c:pt>
                <c:pt idx="1">
                  <c:v>0</c:v>
                </c:pt>
                <c:pt idx="2">
                  <c:v>0</c:v>
                </c:pt>
                <c:pt idx="3">
                  <c:v>0</c:v>
                </c:pt>
                <c:pt idx="4">
                  <c:v>0</c:v>
                </c:pt>
              </c:numCache>
            </c:numRef>
          </c:val>
          <c:smooth val="0"/>
          <c:extLst>
            <c:ext xmlns:c16="http://schemas.microsoft.com/office/drawing/2014/chart" uri="{C3380CC4-5D6E-409C-BE32-E72D297353CC}">
              <c16:uniqueId val="{00000001-02CF-48FB-B7C2-919D0282442F}"/>
            </c:ext>
          </c:extLst>
        </c:ser>
        <c:dLbls>
          <c:showLegendKey val="0"/>
          <c:showVal val="0"/>
          <c:showCatName val="0"/>
          <c:showSerName val="0"/>
          <c:showPercent val="0"/>
          <c:showBubbleSize val="0"/>
        </c:dLbls>
        <c:marker val="1"/>
        <c:smooth val="0"/>
        <c:axId val="620169416"/>
        <c:axId val="620166672"/>
      </c:lineChart>
      <c:dateAx>
        <c:axId val="62016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6672"/>
        <c:crosses val="autoZero"/>
        <c:auto val="0"/>
        <c:lblOffset val="50"/>
        <c:baseTimeUnit val="months"/>
        <c:majorUnit val="6"/>
        <c:majorTimeUnit val="months"/>
      </c:dateAx>
      <c:valAx>
        <c:axId val="62016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9416"/>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ARS!$H$1133:$H$1145</c:f>
              <c:numCache>
                <c:formatCode>dd/mm/yyyy;@</c:formatCode>
                <c:ptCount val="13"/>
                <c:pt idx="0">
                  <c:v>43396</c:v>
                </c:pt>
                <c:pt idx="1">
                  <c:v>43488</c:v>
                </c:pt>
                <c:pt idx="2">
                  <c:v>43578</c:v>
                </c:pt>
                <c:pt idx="3">
                  <c:v>43669</c:v>
                </c:pt>
                <c:pt idx="4">
                  <c:v>43761</c:v>
                </c:pt>
                <c:pt idx="5">
                  <c:v>43853</c:v>
                </c:pt>
                <c:pt idx="6">
                  <c:v>43944</c:v>
                </c:pt>
                <c:pt idx="7">
                  <c:v>44035</c:v>
                </c:pt>
                <c:pt idx="8">
                  <c:v>44127</c:v>
                </c:pt>
                <c:pt idx="9">
                  <c:v>44221</c:v>
                </c:pt>
                <c:pt idx="10">
                  <c:v>44309</c:v>
                </c:pt>
                <c:pt idx="11">
                  <c:v>44400</c:v>
                </c:pt>
                <c:pt idx="12">
                  <c:v>44494</c:v>
                </c:pt>
              </c:numCache>
            </c:numRef>
          </c:cat>
          <c:val>
            <c:numRef>
              <c:f>ARS!$M$1133:$M$1145</c:f>
              <c:numCache>
                <c:formatCode>#,##0.00</c:formatCode>
                <c:ptCount val="13"/>
                <c:pt idx="0">
                  <c:v>-2800000</c:v>
                </c:pt>
                <c:pt idx="1">
                  <c:v>635125.5555555555</c:v>
                </c:pt>
                <c:pt idx="2">
                  <c:v>583202.89999999991</c:v>
                </c:pt>
                <c:pt idx="3">
                  <c:v>559893.40847222228</c:v>
                </c:pt>
                <c:pt idx="4">
                  <c:v>549062.91611111118</c:v>
                </c:pt>
                <c:pt idx="5">
                  <c:v>487589.62777777773</c:v>
                </c:pt>
                <c:pt idx="6">
                  <c:v>393673.74375000002</c:v>
                </c:pt>
                <c:pt idx="7">
                  <c:v>352419.94277777779</c:v>
                </c:pt>
                <c:pt idx="8">
                  <c:v>333660.03222222219</c:v>
                </c:pt>
                <c:pt idx="9">
                  <c:v>315334.25777777779</c:v>
                </c:pt>
                <c:pt idx="10">
                  <c:v>290918.02444444445</c:v>
                </c:pt>
                <c:pt idx="11">
                  <c:v>271906.38611111109</c:v>
                </c:pt>
                <c:pt idx="12">
                  <c:v>252804.39722222224</c:v>
                </c:pt>
              </c:numCache>
            </c:numRef>
          </c:val>
          <c:extLst>
            <c:ext xmlns:c16="http://schemas.microsoft.com/office/drawing/2014/chart" uri="{C3380CC4-5D6E-409C-BE32-E72D297353CC}">
              <c16:uniqueId val="{00000000-E3D9-4903-969E-B1E7AD95EFAC}"/>
            </c:ext>
          </c:extLst>
        </c:ser>
        <c:dLbls>
          <c:showLegendKey val="0"/>
          <c:showVal val="0"/>
          <c:showCatName val="0"/>
          <c:showSerName val="0"/>
          <c:showPercent val="0"/>
          <c:showBubbleSize val="0"/>
        </c:dLbls>
        <c:gapWidth val="0"/>
        <c:axId val="620163144"/>
        <c:axId val="620167456"/>
      </c:barChart>
      <c:lineChart>
        <c:grouping val="standard"/>
        <c:varyColors val="0"/>
        <c:ser>
          <c:idx val="1"/>
          <c:order val="1"/>
          <c:tx>
            <c:v>Acumulado</c:v>
          </c:tx>
          <c:spPr>
            <a:ln w="28575" cap="rnd">
              <a:solidFill>
                <a:schemeClr val="accent2"/>
              </a:solidFill>
              <a:round/>
            </a:ln>
            <a:effectLst/>
          </c:spPr>
          <c:marker>
            <c:symbol val="none"/>
          </c:marker>
          <c:val>
            <c:numRef>
              <c:f>ARS!$O$975:$O$987</c:f>
              <c:numCache>
                <c:formatCode>#,##0.00</c:formatCode>
                <c:ptCount val="13"/>
                <c:pt idx="0">
                  <c:v>-2800000</c:v>
                </c:pt>
                <c:pt idx="1">
                  <c:v>-2164874.4444444445</c:v>
                </c:pt>
                <c:pt idx="2">
                  <c:v>-1581671.5444444446</c:v>
                </c:pt>
                <c:pt idx="3">
                  <c:v>-1021778.1359722223</c:v>
                </c:pt>
                <c:pt idx="4">
                  <c:v>-472715.21986111114</c:v>
                </c:pt>
                <c:pt idx="5">
                  <c:v>14874.407916666591</c:v>
                </c:pt>
                <c:pt idx="6">
                  <c:v>408548.15166666661</c:v>
                </c:pt>
                <c:pt idx="7">
                  <c:v>760968.0944444444</c:v>
                </c:pt>
                <c:pt idx="8">
                  <c:v>1094628.1266666665</c:v>
                </c:pt>
                <c:pt idx="9">
                  <c:v>1409962.3844444442</c:v>
                </c:pt>
                <c:pt idx="10">
                  <c:v>1700880.4088888885</c:v>
                </c:pt>
                <c:pt idx="11">
                  <c:v>1972786.7949999997</c:v>
                </c:pt>
                <c:pt idx="12">
                  <c:v>2225591.1922222218</c:v>
                </c:pt>
              </c:numCache>
            </c:numRef>
          </c:val>
          <c:smooth val="0"/>
          <c:extLst>
            <c:ext xmlns:c16="http://schemas.microsoft.com/office/drawing/2014/chart" uri="{C3380CC4-5D6E-409C-BE32-E72D297353CC}">
              <c16:uniqueId val="{00000001-E3D9-4903-969E-B1E7AD95EFAC}"/>
            </c:ext>
          </c:extLst>
        </c:ser>
        <c:dLbls>
          <c:showLegendKey val="0"/>
          <c:showVal val="0"/>
          <c:showCatName val="0"/>
          <c:showSerName val="0"/>
          <c:showPercent val="0"/>
          <c:showBubbleSize val="0"/>
        </c:dLbls>
        <c:marker val="1"/>
        <c:smooth val="0"/>
        <c:axId val="620163144"/>
        <c:axId val="620167456"/>
      </c:lineChart>
      <c:dateAx>
        <c:axId val="6201631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7456"/>
        <c:crosses val="autoZero"/>
        <c:auto val="0"/>
        <c:lblOffset val="50"/>
        <c:baseTimeUnit val="months"/>
        <c:majorUnit val="6"/>
        <c:majorTimeUnit val="months"/>
      </c:dateAx>
      <c:valAx>
        <c:axId val="62016745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1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ARS!$H$1176:$H$1180</c:f>
              <c:numCache>
                <c:formatCode>dd/mm/yyyy;@</c:formatCode>
                <c:ptCount val="5"/>
                <c:pt idx="0">
                  <c:v>43683</c:v>
                </c:pt>
                <c:pt idx="1">
                  <c:v>43867</c:v>
                </c:pt>
                <c:pt idx="2">
                  <c:v>44049</c:v>
                </c:pt>
                <c:pt idx="3">
                  <c:v>44235</c:v>
                </c:pt>
                <c:pt idx="4">
                  <c:v>44414</c:v>
                </c:pt>
              </c:numCache>
            </c:numRef>
          </c:cat>
          <c:val>
            <c:numRef>
              <c:f>ARS!$M$1176:$M$1180</c:f>
              <c:numCache>
                <c:formatCode>#,##0.00</c:formatCode>
                <c:ptCount val="5"/>
                <c:pt idx="0">
                  <c:v>-15000000</c:v>
                </c:pt>
                <c:pt idx="1">
                  <c:v>7578541.666666666</c:v>
                </c:pt>
                <c:pt idx="2">
                  <c:v>5929023.4375</c:v>
                </c:pt>
                <c:pt idx="3">
                  <c:v>5072343.75</c:v>
                </c:pt>
                <c:pt idx="4">
                  <c:v>4386289.0625</c:v>
                </c:pt>
              </c:numCache>
            </c:numRef>
          </c:val>
          <c:extLst>
            <c:ext xmlns:c16="http://schemas.microsoft.com/office/drawing/2014/chart" uri="{C3380CC4-5D6E-409C-BE32-E72D297353CC}">
              <c16:uniqueId val="{00000000-20E1-4A5E-B703-3AE274B6DDB0}"/>
            </c:ext>
          </c:extLst>
        </c:ser>
        <c:dLbls>
          <c:showLegendKey val="0"/>
          <c:showVal val="0"/>
          <c:showCatName val="0"/>
          <c:showSerName val="0"/>
          <c:showPercent val="0"/>
          <c:showBubbleSize val="0"/>
        </c:dLbls>
        <c:gapWidth val="0"/>
        <c:axId val="620166280"/>
        <c:axId val="620164320"/>
      </c:barChart>
      <c:lineChart>
        <c:grouping val="standard"/>
        <c:varyColors val="0"/>
        <c:ser>
          <c:idx val="1"/>
          <c:order val="1"/>
          <c:tx>
            <c:v>Acumulado</c:v>
          </c:tx>
          <c:spPr>
            <a:ln w="28575" cap="rnd">
              <a:solidFill>
                <a:schemeClr val="accent2"/>
              </a:solidFill>
              <a:round/>
            </a:ln>
            <a:effectLst/>
          </c:spPr>
          <c:marker>
            <c:symbol val="none"/>
          </c:marker>
          <c:val>
            <c:numRef>
              <c:f>ARS!$O$1021:$O$1025</c:f>
              <c:numCache>
                <c:formatCode>#,##0.00</c:formatCode>
                <c:ptCount val="5"/>
                <c:pt idx="0">
                  <c:v>-15000000</c:v>
                </c:pt>
                <c:pt idx="1">
                  <c:v>-7421458.333333334</c:v>
                </c:pt>
                <c:pt idx="2">
                  <c:v>-1492434.895833334</c:v>
                </c:pt>
                <c:pt idx="3">
                  <c:v>3579908.854166666</c:v>
                </c:pt>
                <c:pt idx="4">
                  <c:v>7966197.916666666</c:v>
                </c:pt>
              </c:numCache>
            </c:numRef>
          </c:val>
          <c:smooth val="0"/>
          <c:extLst>
            <c:ext xmlns:c16="http://schemas.microsoft.com/office/drawing/2014/chart" uri="{C3380CC4-5D6E-409C-BE32-E72D297353CC}">
              <c16:uniqueId val="{00000001-20E1-4A5E-B703-3AE274B6DDB0}"/>
            </c:ext>
          </c:extLst>
        </c:ser>
        <c:dLbls>
          <c:showLegendKey val="0"/>
          <c:showVal val="0"/>
          <c:showCatName val="0"/>
          <c:showSerName val="0"/>
          <c:showPercent val="0"/>
          <c:showBubbleSize val="0"/>
        </c:dLbls>
        <c:marker val="1"/>
        <c:smooth val="0"/>
        <c:axId val="620166280"/>
        <c:axId val="620164320"/>
      </c:lineChart>
      <c:dateAx>
        <c:axId val="6201662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4320"/>
        <c:crosses val="autoZero"/>
        <c:auto val="0"/>
        <c:lblOffset val="50"/>
        <c:baseTimeUnit val="months"/>
        <c:majorUnit val="6"/>
        <c:majorTimeUnit val="months"/>
      </c:dateAx>
      <c:valAx>
        <c:axId val="620164320"/>
        <c:scaling>
          <c:orientation val="minMax"/>
          <c:min val="-1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628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ARS!$H$1248:$H$1252</c:f>
              <c:numCache>
                <c:formatCode>dd/mm/yyyy;@</c:formatCode>
                <c:ptCount val="5"/>
                <c:pt idx="0">
                  <c:v>43438</c:v>
                </c:pt>
                <c:pt idx="1">
                  <c:v>43620</c:v>
                </c:pt>
                <c:pt idx="2">
                  <c:v>43803</c:v>
                </c:pt>
                <c:pt idx="3">
                  <c:v>43986</c:v>
                </c:pt>
                <c:pt idx="4">
                  <c:v>44169</c:v>
                </c:pt>
              </c:numCache>
            </c:numRef>
          </c:cat>
          <c:val>
            <c:numRef>
              <c:f>ARS!$M$1248:$M$1252</c:f>
              <c:numCache>
                <c:formatCode>#,##0.00</c:formatCode>
                <c:ptCount val="5"/>
                <c:pt idx="0">
                  <c:v>-2000000</c:v>
                </c:pt>
                <c:pt idx="1">
                  <c:v>1091815.9722222225</c:v>
                </c:pt>
                <c:pt idx="2">
                  <c:v>925332.03125</c:v>
                </c:pt>
                <c:pt idx="3">
                  <c:v>715247.39583333326</c:v>
                </c:pt>
                <c:pt idx="4">
                  <c:v>584192.70833333337</c:v>
                </c:pt>
              </c:numCache>
            </c:numRef>
          </c:val>
          <c:extLst>
            <c:ext xmlns:c16="http://schemas.microsoft.com/office/drawing/2014/chart" uri="{C3380CC4-5D6E-409C-BE32-E72D297353CC}">
              <c16:uniqueId val="{00000000-CBE2-4D8E-9201-FD496606F883}"/>
            </c:ext>
          </c:extLst>
        </c:ser>
        <c:dLbls>
          <c:showLegendKey val="0"/>
          <c:showVal val="0"/>
          <c:showCatName val="0"/>
          <c:showSerName val="0"/>
          <c:showPercent val="0"/>
          <c:showBubbleSize val="0"/>
        </c:dLbls>
        <c:gapWidth val="0"/>
        <c:axId val="620165496"/>
        <c:axId val="620169808"/>
      </c:barChart>
      <c:lineChart>
        <c:grouping val="standard"/>
        <c:varyColors val="0"/>
        <c:ser>
          <c:idx val="1"/>
          <c:order val="1"/>
          <c:tx>
            <c:v>Acumulado</c:v>
          </c:tx>
          <c:spPr>
            <a:ln w="28575" cap="rnd">
              <a:solidFill>
                <a:schemeClr val="accent2"/>
              </a:solidFill>
              <a:round/>
            </a:ln>
            <a:effectLst/>
          </c:spPr>
          <c:marker>
            <c:symbol val="none"/>
          </c:marker>
          <c:val>
            <c:numRef>
              <c:f>ARS!$O$1137:$O$1141</c:f>
              <c:numCache>
                <c:formatCode>#,##0.00</c:formatCode>
                <c:ptCount val="5"/>
                <c:pt idx="0">
                  <c:v>-2000000</c:v>
                </c:pt>
                <c:pt idx="1">
                  <c:v>-908184.02777777752</c:v>
                </c:pt>
                <c:pt idx="2">
                  <c:v>17148.003472222481</c:v>
                </c:pt>
                <c:pt idx="3">
                  <c:v>732395.39930555574</c:v>
                </c:pt>
                <c:pt idx="4">
                  <c:v>1316588.107638889</c:v>
                </c:pt>
              </c:numCache>
            </c:numRef>
          </c:val>
          <c:smooth val="0"/>
          <c:extLst>
            <c:ext xmlns:c16="http://schemas.microsoft.com/office/drawing/2014/chart" uri="{C3380CC4-5D6E-409C-BE32-E72D297353CC}">
              <c16:uniqueId val="{00000001-CBE2-4D8E-9201-FD496606F883}"/>
            </c:ext>
          </c:extLst>
        </c:ser>
        <c:dLbls>
          <c:showLegendKey val="0"/>
          <c:showVal val="0"/>
          <c:showCatName val="0"/>
          <c:showSerName val="0"/>
          <c:showPercent val="0"/>
          <c:showBubbleSize val="0"/>
        </c:dLbls>
        <c:marker val="1"/>
        <c:smooth val="0"/>
        <c:axId val="620165496"/>
        <c:axId val="620169808"/>
      </c:lineChart>
      <c:dateAx>
        <c:axId val="62016549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9808"/>
        <c:crosses val="autoZero"/>
        <c:auto val="0"/>
        <c:lblOffset val="50"/>
        <c:baseTimeUnit val="months"/>
        <c:majorUnit val="6"/>
        <c:majorTimeUnit val="months"/>
      </c:dateAx>
      <c:valAx>
        <c:axId val="620169808"/>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549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ARS!$H$1314:$H$1326</c:f>
              <c:numCache>
                <c:formatCode>dd/mm/yyyy;@</c:formatCode>
                <c:ptCount val="13"/>
                <c:pt idx="0">
                  <c:v>43280</c:v>
                </c:pt>
                <c:pt idx="1">
                  <c:v>43374</c:v>
                </c:pt>
                <c:pt idx="2">
                  <c:v>43465</c:v>
                </c:pt>
                <c:pt idx="3">
                  <c:v>43553</c:v>
                </c:pt>
                <c:pt idx="4">
                  <c:v>43647</c:v>
                </c:pt>
                <c:pt idx="5">
                  <c:v>43738</c:v>
                </c:pt>
                <c:pt idx="6">
                  <c:v>43829</c:v>
                </c:pt>
                <c:pt idx="7">
                  <c:v>43920</c:v>
                </c:pt>
                <c:pt idx="8">
                  <c:v>44011</c:v>
                </c:pt>
                <c:pt idx="9">
                  <c:v>44103</c:v>
                </c:pt>
                <c:pt idx="10">
                  <c:v>44194</c:v>
                </c:pt>
                <c:pt idx="11">
                  <c:v>44284</c:v>
                </c:pt>
                <c:pt idx="12">
                  <c:v>44376</c:v>
                </c:pt>
              </c:numCache>
            </c:numRef>
          </c:cat>
          <c:val>
            <c:numRef>
              <c:f>ARS!$M$1314:$M$1326</c:f>
              <c:numCache>
                <c:formatCode>#,##0.00</c:formatCode>
                <c:ptCount val="13"/>
                <c:pt idx="0">
                  <c:v>-2000000</c:v>
                </c:pt>
                <c:pt idx="1">
                  <c:v>223739.58333333331</c:v>
                </c:pt>
                <c:pt idx="2">
                  <c:v>259097.22222222225</c:v>
                </c:pt>
                <c:pt idx="3">
                  <c:v>245972.22222222222</c:v>
                </c:pt>
                <c:pt idx="4">
                  <c:v>935054.86111111112</c:v>
                </c:pt>
                <c:pt idx="5">
                  <c:v>203285.62673611112</c:v>
                </c:pt>
                <c:pt idx="6">
                  <c:v>186643.59097222224</c:v>
                </c:pt>
                <c:pt idx="7">
                  <c:v>135137.54357638888</c:v>
                </c:pt>
                <c:pt idx="8">
                  <c:v>776879.8192708334</c:v>
                </c:pt>
                <c:pt idx="9">
                  <c:v>53038.383333333331</c:v>
                </c:pt>
                <c:pt idx="10">
                  <c:v>52461.879166666666</c:v>
                </c:pt>
                <c:pt idx="11">
                  <c:v>51885.374999999993</c:v>
                </c:pt>
                <c:pt idx="12">
                  <c:v>719838.3833333333</c:v>
                </c:pt>
              </c:numCache>
            </c:numRef>
          </c:val>
          <c:extLst>
            <c:ext xmlns:c16="http://schemas.microsoft.com/office/drawing/2014/chart" uri="{C3380CC4-5D6E-409C-BE32-E72D297353CC}">
              <c16:uniqueId val="{00000000-FA3B-4BB7-9640-7284A5105599}"/>
            </c:ext>
          </c:extLst>
        </c:ser>
        <c:dLbls>
          <c:showLegendKey val="0"/>
          <c:showVal val="0"/>
          <c:showCatName val="0"/>
          <c:showSerName val="0"/>
          <c:showPercent val="0"/>
          <c:showBubbleSize val="0"/>
        </c:dLbls>
        <c:gapWidth val="0"/>
        <c:axId val="620163928"/>
        <c:axId val="620165888"/>
      </c:barChart>
      <c:lineChart>
        <c:grouping val="standard"/>
        <c:varyColors val="0"/>
        <c:ser>
          <c:idx val="1"/>
          <c:order val="1"/>
          <c:tx>
            <c:v>Acumulado</c:v>
          </c:tx>
          <c:spPr>
            <a:ln w="28575" cap="rnd">
              <a:solidFill>
                <a:schemeClr val="accent2"/>
              </a:solidFill>
              <a:round/>
            </a:ln>
            <a:effectLst/>
          </c:spPr>
          <c:marker>
            <c:symbol val="none"/>
          </c:marker>
          <c:val>
            <c:numRef>
              <c:f>ARS!$O$1205:$O$1217</c:f>
              <c:numCache>
                <c:formatCode>#,##0.00</c:formatCode>
                <c:ptCount val="13"/>
                <c:pt idx="0">
                  <c:v>-2000000</c:v>
                </c:pt>
                <c:pt idx="1">
                  <c:v>-1776260.4166666667</c:v>
                </c:pt>
                <c:pt idx="2">
                  <c:v>-1517163.1944444445</c:v>
                </c:pt>
                <c:pt idx="3">
                  <c:v>-1271190.9722222222</c:v>
                </c:pt>
                <c:pt idx="4">
                  <c:v>-336136.11111111112</c:v>
                </c:pt>
                <c:pt idx="5">
                  <c:v>-132850.484375</c:v>
                </c:pt>
                <c:pt idx="6">
                  <c:v>53793.106597222242</c:v>
                </c:pt>
                <c:pt idx="7">
                  <c:v>188930.65017361112</c:v>
                </c:pt>
                <c:pt idx="8">
                  <c:v>965810.46944444452</c:v>
                </c:pt>
                <c:pt idx="9">
                  <c:v>1018848.8527777778</c:v>
                </c:pt>
                <c:pt idx="10">
                  <c:v>1071310.7319444446</c:v>
                </c:pt>
                <c:pt idx="11">
                  <c:v>1123196.1069444446</c:v>
                </c:pt>
                <c:pt idx="12">
                  <c:v>1843034.4902777779</c:v>
                </c:pt>
              </c:numCache>
            </c:numRef>
          </c:val>
          <c:smooth val="0"/>
          <c:extLst>
            <c:ext xmlns:c16="http://schemas.microsoft.com/office/drawing/2014/chart" uri="{C3380CC4-5D6E-409C-BE32-E72D297353CC}">
              <c16:uniqueId val="{00000001-FA3B-4BB7-9640-7284A5105599}"/>
            </c:ext>
          </c:extLst>
        </c:ser>
        <c:dLbls>
          <c:showLegendKey val="0"/>
          <c:showVal val="0"/>
          <c:showCatName val="0"/>
          <c:showSerName val="0"/>
          <c:showPercent val="0"/>
          <c:showBubbleSize val="0"/>
        </c:dLbls>
        <c:marker val="1"/>
        <c:smooth val="0"/>
        <c:axId val="620163928"/>
        <c:axId val="620165888"/>
      </c:lineChart>
      <c:dateAx>
        <c:axId val="6201639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0165888"/>
        <c:crosses val="autoZero"/>
        <c:auto val="0"/>
        <c:lblOffset val="50"/>
        <c:baseTimeUnit val="months"/>
        <c:majorUnit val="6"/>
        <c:majorTimeUnit val="months"/>
      </c:dateAx>
      <c:valAx>
        <c:axId val="62016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0163928"/>
        <c:crosses val="autoZero"/>
        <c:crossBetween val="between"/>
        <c:maj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ARS!$H$1356:$H$1360</c:f>
              <c:numCache>
                <c:formatCode>dd/mm/yyyy;@</c:formatCode>
                <c:ptCount val="5"/>
                <c:pt idx="0">
                  <c:v>43599</c:v>
                </c:pt>
                <c:pt idx="1">
                  <c:v>43783</c:v>
                </c:pt>
                <c:pt idx="2">
                  <c:v>43965</c:v>
                </c:pt>
                <c:pt idx="3">
                  <c:v>44151</c:v>
                </c:pt>
                <c:pt idx="4">
                  <c:v>44330</c:v>
                </c:pt>
              </c:numCache>
            </c:numRef>
          </c:cat>
          <c:val>
            <c:numRef>
              <c:f>ARS!$M$1356:$M$1360</c:f>
              <c:numCache>
                <c:formatCode>#,##0.00</c:formatCode>
                <c:ptCount val="5"/>
                <c:pt idx="0">
                  <c:v>-18000000</c:v>
                </c:pt>
                <c:pt idx="1">
                  <c:v>9824500</c:v>
                </c:pt>
                <c:pt idx="2">
                  <c:v>7562718.75</c:v>
                </c:pt>
                <c:pt idx="3">
                  <c:v>6086812.5</c:v>
                </c:pt>
                <c:pt idx="4">
                  <c:v>5263546.875</c:v>
                </c:pt>
              </c:numCache>
            </c:numRef>
          </c:val>
          <c:extLst>
            <c:ext xmlns:c16="http://schemas.microsoft.com/office/drawing/2014/chart" uri="{C3380CC4-5D6E-409C-BE32-E72D297353CC}">
              <c16:uniqueId val="{00000000-D3BE-4D3C-8EEA-13994BFF0B03}"/>
            </c:ext>
          </c:extLst>
        </c:ser>
        <c:dLbls>
          <c:showLegendKey val="0"/>
          <c:showVal val="0"/>
          <c:showCatName val="0"/>
          <c:showSerName val="0"/>
          <c:showPercent val="0"/>
          <c:showBubbleSize val="0"/>
        </c:dLbls>
        <c:gapWidth val="0"/>
        <c:axId val="601495440"/>
        <c:axId val="601493088"/>
      </c:barChart>
      <c:lineChart>
        <c:grouping val="standard"/>
        <c:varyColors val="0"/>
        <c:ser>
          <c:idx val="1"/>
          <c:order val="1"/>
          <c:tx>
            <c:v>Acumulado</c:v>
          </c:tx>
          <c:spPr>
            <a:ln w="28575" cap="rnd">
              <a:solidFill>
                <a:schemeClr val="accent2"/>
              </a:solidFill>
              <a:round/>
            </a:ln>
            <a:effectLst/>
          </c:spPr>
          <c:marker>
            <c:symbol val="none"/>
          </c:marker>
          <c:val>
            <c:numRef>
              <c:f>ARS!$O$1246:$O$1250</c:f>
              <c:numCache>
                <c:formatCode>#,##0.00</c:formatCode>
                <c:ptCount val="5"/>
                <c:pt idx="0">
                  <c:v>-18000000</c:v>
                </c:pt>
                <c:pt idx="1">
                  <c:v>-8175500</c:v>
                </c:pt>
                <c:pt idx="2">
                  <c:v>-612781.25</c:v>
                </c:pt>
                <c:pt idx="3">
                  <c:v>5474031.25</c:v>
                </c:pt>
                <c:pt idx="4">
                  <c:v>10737578.125</c:v>
                </c:pt>
              </c:numCache>
            </c:numRef>
          </c:val>
          <c:smooth val="0"/>
          <c:extLst>
            <c:ext xmlns:c16="http://schemas.microsoft.com/office/drawing/2014/chart" uri="{C3380CC4-5D6E-409C-BE32-E72D297353CC}">
              <c16:uniqueId val="{00000001-D3BE-4D3C-8EEA-13994BFF0B03}"/>
            </c:ext>
          </c:extLst>
        </c:ser>
        <c:dLbls>
          <c:showLegendKey val="0"/>
          <c:showVal val="0"/>
          <c:showCatName val="0"/>
          <c:showSerName val="0"/>
          <c:showPercent val="0"/>
          <c:showBubbleSize val="0"/>
        </c:dLbls>
        <c:marker val="1"/>
        <c:smooth val="0"/>
        <c:axId val="601495440"/>
        <c:axId val="601493088"/>
      </c:lineChart>
      <c:dateAx>
        <c:axId val="6014954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088"/>
        <c:crosses val="autoZero"/>
        <c:auto val="0"/>
        <c:lblOffset val="50"/>
        <c:baseTimeUnit val="months"/>
        <c:majorUnit val="6"/>
        <c:majorTimeUnit val="months"/>
      </c:dateAx>
      <c:valAx>
        <c:axId val="6014930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54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ARS!$H$1531:$H$1543</c:f>
              <c:numCache>
                <c:formatCode>dd/mm/yyyy;@</c:formatCode>
                <c:ptCount val="13"/>
                <c:pt idx="0">
                  <c:v>43613</c:v>
                </c:pt>
                <c:pt idx="1">
                  <c:v>43705</c:v>
                </c:pt>
                <c:pt idx="2">
                  <c:v>43797</c:v>
                </c:pt>
                <c:pt idx="3">
                  <c:v>43889</c:v>
                </c:pt>
                <c:pt idx="4">
                  <c:v>43979</c:v>
                </c:pt>
                <c:pt idx="5">
                  <c:v>44071</c:v>
                </c:pt>
                <c:pt idx="6">
                  <c:v>44165</c:v>
                </c:pt>
                <c:pt idx="7">
                  <c:v>44256</c:v>
                </c:pt>
                <c:pt idx="8">
                  <c:v>44344</c:v>
                </c:pt>
                <c:pt idx="9">
                  <c:v>44438</c:v>
                </c:pt>
                <c:pt idx="10">
                  <c:v>44529</c:v>
                </c:pt>
                <c:pt idx="11">
                  <c:v>44620</c:v>
                </c:pt>
                <c:pt idx="12">
                  <c:v>44709</c:v>
                </c:pt>
              </c:numCache>
            </c:numRef>
          </c:cat>
          <c:val>
            <c:numRef>
              <c:f>ARS!$M$1531:$M$1543</c:f>
              <c:numCache>
                <c:formatCode>#,##0.00</c:formatCode>
                <c:ptCount val="13"/>
                <c:pt idx="0">
                  <c:v>-10000000</c:v>
                </c:pt>
                <c:pt idx="1">
                  <c:v>1607604.1666666665</c:v>
                </c:pt>
                <c:pt idx="2">
                  <c:v>1523749.9999999998</c:v>
                </c:pt>
                <c:pt idx="3">
                  <c:v>2211493.0555555555</c:v>
                </c:pt>
                <c:pt idx="4">
                  <c:v>1850078.125</c:v>
                </c:pt>
                <c:pt idx="5">
                  <c:v>1697666.6666666665</c:v>
                </c:pt>
                <c:pt idx="6">
                  <c:v>1623729.1666666665</c:v>
                </c:pt>
                <c:pt idx="7">
                  <c:v>1517562.5</c:v>
                </c:pt>
                <c:pt idx="8">
                  <c:v>1417083.3333333333</c:v>
                </c:pt>
                <c:pt idx="9">
                  <c:v>1356416.6666666667</c:v>
                </c:pt>
                <c:pt idx="10">
                  <c:v>1258781.25</c:v>
                </c:pt>
                <c:pt idx="11">
                  <c:v>1172520.8333333333</c:v>
                </c:pt>
                <c:pt idx="12">
                  <c:v>1086260.4166666667</c:v>
                </c:pt>
              </c:numCache>
            </c:numRef>
          </c:val>
          <c:extLst>
            <c:ext xmlns:c16="http://schemas.microsoft.com/office/drawing/2014/chart" uri="{C3380CC4-5D6E-409C-BE32-E72D297353CC}">
              <c16:uniqueId val="{00000000-5285-47B8-816C-3ACFB45C4BE7}"/>
            </c:ext>
          </c:extLst>
        </c:ser>
        <c:dLbls>
          <c:showLegendKey val="0"/>
          <c:showVal val="0"/>
          <c:showCatName val="0"/>
          <c:showSerName val="0"/>
          <c:showPercent val="0"/>
          <c:showBubbleSize val="0"/>
        </c:dLbls>
        <c:gapWidth val="0"/>
        <c:axId val="601485248"/>
        <c:axId val="601485640"/>
      </c:barChart>
      <c:lineChart>
        <c:grouping val="standard"/>
        <c:varyColors val="0"/>
        <c:ser>
          <c:idx val="1"/>
          <c:order val="1"/>
          <c:tx>
            <c:v>Acumulado</c:v>
          </c:tx>
          <c:spPr>
            <a:ln w="28575" cap="rnd">
              <a:solidFill>
                <a:schemeClr val="accent2"/>
              </a:solidFill>
              <a:round/>
            </a:ln>
            <a:effectLst/>
          </c:spPr>
          <c:marker>
            <c:symbol val="none"/>
          </c:marker>
          <c:val>
            <c:numRef>
              <c:f>ARS!$O$1423:$O$1435</c:f>
              <c:numCache>
                <c:formatCode>#,##0.00</c:formatCode>
                <c:ptCount val="13"/>
                <c:pt idx="0">
                  <c:v>-10000000</c:v>
                </c:pt>
                <c:pt idx="1">
                  <c:v>-8392395.833333334</c:v>
                </c:pt>
                <c:pt idx="2">
                  <c:v>-6868645.833333334</c:v>
                </c:pt>
                <c:pt idx="3">
                  <c:v>-4657152.777777778</c:v>
                </c:pt>
                <c:pt idx="4">
                  <c:v>-2807074.652777778</c:v>
                </c:pt>
                <c:pt idx="5">
                  <c:v>-1109407.9861111115</c:v>
                </c:pt>
                <c:pt idx="6">
                  <c:v>514321.18055555504</c:v>
                </c:pt>
                <c:pt idx="7">
                  <c:v>2031883.680555555</c:v>
                </c:pt>
                <c:pt idx="8">
                  <c:v>3448967.0138888881</c:v>
                </c:pt>
                <c:pt idx="9">
                  <c:v>4805383.680555555</c:v>
                </c:pt>
                <c:pt idx="10">
                  <c:v>6064164.930555555</c:v>
                </c:pt>
                <c:pt idx="11">
                  <c:v>7236685.7638888881</c:v>
                </c:pt>
                <c:pt idx="12">
                  <c:v>8322946.180555555</c:v>
                </c:pt>
              </c:numCache>
            </c:numRef>
          </c:val>
          <c:smooth val="0"/>
          <c:extLst>
            <c:ext xmlns:c16="http://schemas.microsoft.com/office/drawing/2014/chart" uri="{C3380CC4-5D6E-409C-BE32-E72D297353CC}">
              <c16:uniqueId val="{00000001-5285-47B8-816C-3ACFB45C4BE7}"/>
            </c:ext>
          </c:extLst>
        </c:ser>
        <c:dLbls>
          <c:showLegendKey val="0"/>
          <c:showVal val="0"/>
          <c:showCatName val="0"/>
          <c:showSerName val="0"/>
          <c:showPercent val="0"/>
          <c:showBubbleSize val="0"/>
        </c:dLbls>
        <c:marker val="1"/>
        <c:smooth val="0"/>
        <c:axId val="601485248"/>
        <c:axId val="601485640"/>
      </c:lineChart>
      <c:dateAx>
        <c:axId val="6014852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5640"/>
        <c:crosses val="autoZero"/>
        <c:auto val="0"/>
        <c:lblOffset val="50"/>
        <c:baseTimeUnit val="months"/>
        <c:majorUnit val="6"/>
        <c:majorTimeUnit val="months"/>
      </c:dateAx>
      <c:valAx>
        <c:axId val="6014856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52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ARS!$H$1609:$H$1645</c:f>
              <c:numCache>
                <c:formatCode>dd/mm/yyyy;@</c:formatCode>
                <c:ptCount val="37"/>
                <c:pt idx="0">
                  <c:v>43452</c:v>
                </c:pt>
                <c:pt idx="1">
                  <c:v>43483</c:v>
                </c:pt>
                <c:pt idx="2">
                  <c:v>43514</c:v>
                </c:pt>
                <c:pt idx="3">
                  <c:v>43542</c:v>
                </c:pt>
                <c:pt idx="4">
                  <c:v>43573</c:v>
                </c:pt>
                <c:pt idx="5">
                  <c:v>43605</c:v>
                </c:pt>
                <c:pt idx="6">
                  <c:v>43634</c:v>
                </c:pt>
                <c:pt idx="7">
                  <c:v>43664</c:v>
                </c:pt>
                <c:pt idx="8">
                  <c:v>43696</c:v>
                </c:pt>
                <c:pt idx="9">
                  <c:v>43726</c:v>
                </c:pt>
                <c:pt idx="10">
                  <c:v>43756</c:v>
                </c:pt>
                <c:pt idx="11">
                  <c:v>43787</c:v>
                </c:pt>
                <c:pt idx="12">
                  <c:v>43817</c:v>
                </c:pt>
                <c:pt idx="13">
                  <c:v>43850</c:v>
                </c:pt>
                <c:pt idx="14">
                  <c:v>43879</c:v>
                </c:pt>
                <c:pt idx="15">
                  <c:v>43908</c:v>
                </c:pt>
                <c:pt idx="16">
                  <c:v>43941</c:v>
                </c:pt>
                <c:pt idx="17">
                  <c:v>43969</c:v>
                </c:pt>
                <c:pt idx="18">
                  <c:v>44000</c:v>
                </c:pt>
                <c:pt idx="19">
                  <c:v>44032</c:v>
                </c:pt>
                <c:pt idx="20">
                  <c:v>44061</c:v>
                </c:pt>
                <c:pt idx="21">
                  <c:v>44092</c:v>
                </c:pt>
                <c:pt idx="22">
                  <c:v>44123</c:v>
                </c:pt>
                <c:pt idx="23">
                  <c:v>44153</c:v>
                </c:pt>
                <c:pt idx="24">
                  <c:v>44183</c:v>
                </c:pt>
                <c:pt idx="25">
                  <c:v>44214</c:v>
                </c:pt>
                <c:pt idx="26">
                  <c:v>44245</c:v>
                </c:pt>
                <c:pt idx="27">
                  <c:v>44273</c:v>
                </c:pt>
                <c:pt idx="28">
                  <c:v>44305</c:v>
                </c:pt>
                <c:pt idx="29">
                  <c:v>44334</c:v>
                </c:pt>
                <c:pt idx="30">
                  <c:v>44365</c:v>
                </c:pt>
                <c:pt idx="31">
                  <c:v>44396</c:v>
                </c:pt>
                <c:pt idx="32">
                  <c:v>44426</c:v>
                </c:pt>
                <c:pt idx="33">
                  <c:v>44459</c:v>
                </c:pt>
                <c:pt idx="34">
                  <c:v>44487</c:v>
                </c:pt>
                <c:pt idx="35">
                  <c:v>44518</c:v>
                </c:pt>
                <c:pt idx="36">
                  <c:v>44550</c:v>
                </c:pt>
              </c:numCache>
            </c:numRef>
          </c:cat>
          <c:val>
            <c:numRef>
              <c:f>ARS!$M$1609:$M$1645</c:f>
              <c:numCache>
                <c:formatCode>#,##0.00</c:formatCode>
                <c:ptCount val="37"/>
                <c:pt idx="0">
                  <c:v>-20000000</c:v>
                </c:pt>
                <c:pt idx="1">
                  <c:v>1544218.7499999846</c:v>
                </c:pt>
                <c:pt idx="2">
                  <c:v>1437745.9490740593</c:v>
                </c:pt>
                <c:pt idx="3">
                  <c:v>1266249.9999999856</c:v>
                </c:pt>
                <c:pt idx="4">
                  <c:v>1393255.20833332</c:v>
                </c:pt>
                <c:pt idx="5">
                  <c:v>1514074.0740740616</c:v>
                </c:pt>
                <c:pt idx="6">
                  <c:v>1423947.2415123337</c:v>
                </c:pt>
                <c:pt idx="7">
                  <c:v>1394097.2222222113</c:v>
                </c:pt>
                <c:pt idx="8">
                  <c:v>1415262.3456790023</c:v>
                </c:pt>
                <c:pt idx="9">
                  <c:v>1405844.9074073983</c:v>
                </c:pt>
                <c:pt idx="10">
                  <c:v>1404774.3055555478</c:v>
                </c:pt>
                <c:pt idx="11">
                  <c:v>1321675.3472222148</c:v>
                </c:pt>
                <c:pt idx="12">
                  <c:v>1186342.5925925849</c:v>
                </c:pt>
                <c:pt idx="13">
                  <c:v>1169722.222222215</c:v>
                </c:pt>
                <c:pt idx="14">
                  <c:v>1029686.5354938192</c:v>
                </c:pt>
                <c:pt idx="15">
                  <c:v>967535.68672838691</c:v>
                </c:pt>
                <c:pt idx="16">
                  <c:v>960273.43749999267</c:v>
                </c:pt>
                <c:pt idx="17">
                  <c:v>867746.91358023835</c:v>
                </c:pt>
                <c:pt idx="18">
                  <c:v>883913.96604937548</c:v>
                </c:pt>
                <c:pt idx="19">
                  <c:v>876666.66666666023</c:v>
                </c:pt>
                <c:pt idx="20">
                  <c:v>830395.4475308574</c:v>
                </c:pt>
                <c:pt idx="21">
                  <c:v>832067.90123456228</c:v>
                </c:pt>
                <c:pt idx="22">
                  <c:v>814785.87962962443</c:v>
                </c:pt>
                <c:pt idx="23">
                  <c:v>789699.07407406904</c:v>
                </c:pt>
                <c:pt idx="24">
                  <c:v>772974.53703703242</c:v>
                </c:pt>
                <c:pt idx="25">
                  <c:v>762939.81481481111</c:v>
                </c:pt>
                <c:pt idx="26">
                  <c:v>745657.79320987326</c:v>
                </c:pt>
                <c:pt idx="27">
                  <c:v>711651.23456789716</c:v>
                </c:pt>
                <c:pt idx="28">
                  <c:v>716111.11111110914</c:v>
                </c:pt>
                <c:pt idx="29">
                  <c:v>684891.97530863923</c:v>
                </c:pt>
                <c:pt idx="30">
                  <c:v>676529.70679012209</c:v>
                </c:pt>
                <c:pt idx="31">
                  <c:v>659247.68518518435</c:v>
                </c:pt>
                <c:pt idx="32">
                  <c:v>639178.24074073986</c:v>
                </c:pt>
                <c:pt idx="33">
                  <c:v>629143.51851851959</c:v>
                </c:pt>
                <c:pt idx="34">
                  <c:v>602384.25925925828</c:v>
                </c:pt>
                <c:pt idx="35">
                  <c:v>590119.59876543318</c:v>
                </c:pt>
                <c:pt idx="36">
                  <c:v>573395.06172839715</c:v>
                </c:pt>
              </c:numCache>
            </c:numRef>
          </c:val>
          <c:extLst>
            <c:ext xmlns:c16="http://schemas.microsoft.com/office/drawing/2014/chart" uri="{C3380CC4-5D6E-409C-BE32-E72D297353CC}">
              <c16:uniqueId val="{00000000-82A5-45DE-BEA9-8FE196C9B7C7}"/>
            </c:ext>
          </c:extLst>
        </c:ser>
        <c:dLbls>
          <c:showLegendKey val="0"/>
          <c:showVal val="0"/>
          <c:showCatName val="0"/>
          <c:showSerName val="0"/>
          <c:showPercent val="0"/>
          <c:showBubbleSize val="0"/>
        </c:dLbls>
        <c:gapWidth val="50"/>
        <c:axId val="601488384"/>
        <c:axId val="601486032"/>
      </c:barChart>
      <c:lineChart>
        <c:grouping val="standard"/>
        <c:varyColors val="0"/>
        <c:ser>
          <c:idx val="1"/>
          <c:order val="1"/>
          <c:tx>
            <c:v>Acumulado</c:v>
          </c:tx>
          <c:spPr>
            <a:ln w="28575" cap="rnd">
              <a:solidFill>
                <a:schemeClr val="accent2"/>
              </a:solidFill>
              <a:round/>
            </a:ln>
            <a:effectLst/>
          </c:spPr>
          <c:marker>
            <c:symbol val="none"/>
          </c:marker>
          <c:val>
            <c:numRef>
              <c:f>ARS!$O$1499:$O$1531</c:f>
              <c:numCache>
                <c:formatCode>#,##0.00</c:formatCode>
                <c:ptCount val="33"/>
                <c:pt idx="0">
                  <c:v>-20000000</c:v>
                </c:pt>
                <c:pt idx="1">
                  <c:v>-18455781.250000015</c:v>
                </c:pt>
                <c:pt idx="2">
                  <c:v>-17018035.300925955</c:v>
                </c:pt>
                <c:pt idx="3">
                  <c:v>-15751785.30092597</c:v>
                </c:pt>
                <c:pt idx="4">
                  <c:v>-14358530.092592649</c:v>
                </c:pt>
                <c:pt idx="5">
                  <c:v>-12844456.018518588</c:v>
                </c:pt>
                <c:pt idx="6">
                  <c:v>-11420508.777006254</c:v>
                </c:pt>
                <c:pt idx="7">
                  <c:v>-10026411.554784043</c:v>
                </c:pt>
                <c:pt idx="8">
                  <c:v>-8611149.2091050409</c:v>
                </c:pt>
                <c:pt idx="9">
                  <c:v>-7205304.3016976425</c:v>
                </c:pt>
                <c:pt idx="10">
                  <c:v>-5800529.996142095</c:v>
                </c:pt>
                <c:pt idx="11">
                  <c:v>-4478854.6489198804</c:v>
                </c:pt>
                <c:pt idx="12">
                  <c:v>-3292512.0563272955</c:v>
                </c:pt>
                <c:pt idx="13">
                  <c:v>-2122789.8341050805</c:v>
                </c:pt>
                <c:pt idx="14">
                  <c:v>-1093103.2986112614</c:v>
                </c:pt>
                <c:pt idx="15">
                  <c:v>-125567.61188287451</c:v>
                </c:pt>
                <c:pt idx="16">
                  <c:v>834705.82561711816</c:v>
                </c:pt>
                <c:pt idx="17">
                  <c:v>1702452.7391973566</c:v>
                </c:pt>
                <c:pt idx="18">
                  <c:v>2586366.7052467321</c:v>
                </c:pt>
                <c:pt idx="19">
                  <c:v>3463033.3719133921</c:v>
                </c:pt>
                <c:pt idx="20">
                  <c:v>4293428.8194442494</c:v>
                </c:pt>
                <c:pt idx="21">
                  <c:v>5125496.7206788119</c:v>
                </c:pt>
                <c:pt idx="22">
                  <c:v>5940282.600308436</c:v>
                </c:pt>
                <c:pt idx="23">
                  <c:v>0</c:v>
                </c:pt>
                <c:pt idx="24">
                  <c:v>0</c:v>
                </c:pt>
                <c:pt idx="25">
                  <c:v>0</c:v>
                </c:pt>
                <c:pt idx="26">
                  <c:v>0</c:v>
                </c:pt>
                <c:pt idx="27">
                  <c:v>0</c:v>
                </c:pt>
                <c:pt idx="28">
                  <c:v>0</c:v>
                </c:pt>
                <c:pt idx="29">
                  <c:v>0</c:v>
                </c:pt>
                <c:pt idx="30">
                  <c:v>0</c:v>
                </c:pt>
                <c:pt idx="31">
                  <c:v>0</c:v>
                </c:pt>
                <c:pt idx="32">
                  <c:v>0</c:v>
                </c:pt>
              </c:numCache>
            </c:numRef>
          </c:val>
          <c:smooth val="0"/>
          <c:extLst>
            <c:ext xmlns:c16="http://schemas.microsoft.com/office/drawing/2014/chart" uri="{C3380CC4-5D6E-409C-BE32-E72D297353CC}">
              <c16:uniqueId val="{00000001-82A5-45DE-BEA9-8FE196C9B7C7}"/>
            </c:ext>
          </c:extLst>
        </c:ser>
        <c:dLbls>
          <c:showLegendKey val="0"/>
          <c:showVal val="0"/>
          <c:showCatName val="0"/>
          <c:showSerName val="0"/>
          <c:showPercent val="0"/>
          <c:showBubbleSize val="0"/>
        </c:dLbls>
        <c:marker val="1"/>
        <c:smooth val="0"/>
        <c:axId val="601488384"/>
        <c:axId val="601486032"/>
      </c:lineChart>
      <c:dateAx>
        <c:axId val="6014883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032"/>
        <c:crosses val="autoZero"/>
        <c:auto val="0"/>
        <c:lblOffset val="50"/>
        <c:baseTimeUnit val="months"/>
        <c:majorUnit val="6"/>
        <c:majorTimeUnit val="months"/>
      </c:dateAx>
      <c:valAx>
        <c:axId val="6014860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83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ARS!$H$1712:$H$1716</c:f>
              <c:numCache>
                <c:formatCode>dd/mm/yyyy;@</c:formatCode>
                <c:ptCount val="5"/>
                <c:pt idx="0">
                  <c:v>43649</c:v>
                </c:pt>
                <c:pt idx="1">
                  <c:v>43833</c:v>
                </c:pt>
                <c:pt idx="2">
                  <c:v>44015</c:v>
                </c:pt>
                <c:pt idx="3">
                  <c:v>44200</c:v>
                </c:pt>
                <c:pt idx="4">
                  <c:v>44382</c:v>
                </c:pt>
              </c:numCache>
            </c:numRef>
          </c:cat>
          <c:val>
            <c:numRef>
              <c:f>ARS!$M$1712:$M$1716</c:f>
              <c:numCache>
                <c:formatCode>#,##0.00</c:formatCode>
                <c:ptCount val="5"/>
                <c:pt idx="0">
                  <c:v>-30000000</c:v>
                </c:pt>
                <c:pt idx="1">
                  <c:v>10843000</c:v>
                </c:pt>
                <c:pt idx="2">
                  <c:v>8369568.75</c:v>
                </c:pt>
                <c:pt idx="3">
                  <c:v>15949750</c:v>
                </c:pt>
                <c:pt idx="4">
                  <c:v>13942850</c:v>
                </c:pt>
              </c:numCache>
            </c:numRef>
          </c:val>
          <c:extLst>
            <c:ext xmlns:c16="http://schemas.microsoft.com/office/drawing/2014/chart" uri="{C3380CC4-5D6E-409C-BE32-E72D297353CC}">
              <c16:uniqueId val="{00000000-F8E2-4CD0-9C93-1F217E8B99BB}"/>
            </c:ext>
          </c:extLst>
        </c:ser>
        <c:dLbls>
          <c:showLegendKey val="0"/>
          <c:showVal val="0"/>
          <c:showCatName val="0"/>
          <c:showSerName val="0"/>
          <c:showPercent val="0"/>
          <c:showBubbleSize val="0"/>
        </c:dLbls>
        <c:gapWidth val="0"/>
        <c:axId val="601490344"/>
        <c:axId val="601493872"/>
      </c:barChart>
      <c:lineChart>
        <c:grouping val="standard"/>
        <c:varyColors val="0"/>
        <c:ser>
          <c:idx val="1"/>
          <c:order val="1"/>
          <c:tx>
            <c:v>Acumulado</c:v>
          </c:tx>
          <c:spPr>
            <a:ln w="28575" cap="rnd">
              <a:solidFill>
                <a:schemeClr val="accent2"/>
              </a:solidFill>
              <a:round/>
            </a:ln>
            <a:effectLst/>
          </c:spPr>
          <c:marker>
            <c:symbol val="none"/>
          </c:marker>
          <c:val>
            <c:numRef>
              <c:f>ARS!$O$1598:$O$1602</c:f>
              <c:numCache>
                <c:formatCode>#,##0.00</c:formatCode>
                <c:ptCount val="5"/>
                <c:pt idx="0">
                  <c:v>-30000000</c:v>
                </c:pt>
                <c:pt idx="1">
                  <c:v>-19157000</c:v>
                </c:pt>
                <c:pt idx="2">
                  <c:v>-10787431.25</c:v>
                </c:pt>
                <c:pt idx="3">
                  <c:v>5162318.75</c:v>
                </c:pt>
                <c:pt idx="4">
                  <c:v>19105168.75</c:v>
                </c:pt>
              </c:numCache>
            </c:numRef>
          </c:val>
          <c:smooth val="0"/>
          <c:extLst>
            <c:ext xmlns:c16="http://schemas.microsoft.com/office/drawing/2014/chart" uri="{C3380CC4-5D6E-409C-BE32-E72D297353CC}">
              <c16:uniqueId val="{00000001-F8E2-4CD0-9C93-1F217E8B99BB}"/>
            </c:ext>
          </c:extLst>
        </c:ser>
        <c:dLbls>
          <c:showLegendKey val="0"/>
          <c:showVal val="0"/>
          <c:showCatName val="0"/>
          <c:showSerName val="0"/>
          <c:showPercent val="0"/>
          <c:showBubbleSize val="0"/>
        </c:dLbls>
        <c:marker val="1"/>
        <c:smooth val="0"/>
        <c:axId val="601490344"/>
        <c:axId val="601493872"/>
      </c:lineChart>
      <c:dateAx>
        <c:axId val="6014903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3872"/>
        <c:crosses val="autoZero"/>
        <c:auto val="0"/>
        <c:lblOffset val="50"/>
        <c:baseTimeUnit val="months"/>
        <c:majorUnit val="6"/>
        <c:majorTimeUnit val="months"/>
      </c:dateAx>
      <c:valAx>
        <c:axId val="6014938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034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Emisiones</c:v>
          </c:tx>
          <c:spPr>
            <a:solidFill>
              <a:srgbClr val="009999"/>
            </a:solidFill>
          </c:spPr>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3751-4C42-BBF8-E0FF1CF8FF6E}"/>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3751-4C42-BBF8-E0FF1CF8FF6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('Reporte - Oscuro'!$C$13,'Reporte - Oscuro'!$F$13)</c:f>
              <c:strCache>
                <c:ptCount val="2"/>
                <c:pt idx="0">
                  <c:v>ARS</c:v>
                </c:pt>
                <c:pt idx="1">
                  <c:v>USD</c:v>
                </c:pt>
              </c:strCache>
            </c:strRef>
          </c:cat>
          <c:val>
            <c:numRef>
              <c:f>('Reporte - Oscuro'!$C$14,'Reporte - Oscuro'!$F$14)</c:f>
              <c:numCache>
                <c:formatCode>0</c:formatCode>
                <c:ptCount val="2"/>
                <c:pt idx="0">
                  <c:v>3</c:v>
                </c:pt>
                <c:pt idx="1">
                  <c:v>4</c:v>
                </c:pt>
              </c:numCache>
            </c:numRef>
          </c:val>
          <c:extLst>
            <c:ext xmlns:c16="http://schemas.microsoft.com/office/drawing/2014/chart" uri="{C3380CC4-5D6E-409C-BE32-E72D297353CC}">
              <c16:uniqueId val="{00000004-3751-4C42-BBF8-E0FF1CF8FF6E}"/>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ARS!$H$1784:$H$1793</c:f>
              <c:numCache>
                <c:formatCode>dd/mm/yyyy;@</c:formatCode>
                <c:ptCount val="10"/>
                <c:pt idx="0">
                  <c:v>43342</c:v>
                </c:pt>
                <c:pt idx="1">
                  <c:v>43465</c:v>
                </c:pt>
                <c:pt idx="2">
                  <c:v>43585</c:v>
                </c:pt>
                <c:pt idx="3">
                  <c:v>43707</c:v>
                </c:pt>
                <c:pt idx="4">
                  <c:v>43829</c:v>
                </c:pt>
                <c:pt idx="5">
                  <c:v>43951</c:v>
                </c:pt>
                <c:pt idx="6">
                  <c:v>44074</c:v>
                </c:pt>
                <c:pt idx="7">
                  <c:v>44195</c:v>
                </c:pt>
                <c:pt idx="8">
                  <c:v>44316</c:v>
                </c:pt>
                <c:pt idx="9">
                  <c:v>44438</c:v>
                </c:pt>
              </c:numCache>
            </c:numRef>
          </c:cat>
          <c:val>
            <c:numRef>
              <c:f>ARS!$M$1784:$M$1793</c:f>
              <c:numCache>
                <c:formatCode>#,##0.00</c:formatCode>
                <c:ptCount val="10"/>
                <c:pt idx="0">
                  <c:v>-5000000</c:v>
                </c:pt>
                <c:pt idx="1">
                  <c:v>1443833.3333333335</c:v>
                </c:pt>
                <c:pt idx="2">
                  <c:v>1419862.65625</c:v>
                </c:pt>
                <c:pt idx="3">
                  <c:v>1380859.2291666665</c:v>
                </c:pt>
                <c:pt idx="4">
                  <c:v>1222014.8055555555</c:v>
                </c:pt>
                <c:pt idx="5">
                  <c:v>965023.5</c:v>
                </c:pt>
                <c:pt idx="6">
                  <c:v>829816.69270833326</c:v>
                </c:pt>
                <c:pt idx="7">
                  <c:v>757907.37152777775</c:v>
                </c:pt>
                <c:pt idx="8">
                  <c:v>690458.484375</c:v>
                </c:pt>
                <c:pt idx="9">
                  <c:v>624067.52777777775</c:v>
                </c:pt>
              </c:numCache>
            </c:numRef>
          </c:val>
          <c:extLst>
            <c:ext xmlns:c16="http://schemas.microsoft.com/office/drawing/2014/chart" uri="{C3380CC4-5D6E-409C-BE32-E72D297353CC}">
              <c16:uniqueId val="{00000000-E45C-4CBA-BBFF-1AB6749C05C8}"/>
            </c:ext>
          </c:extLst>
        </c:ser>
        <c:dLbls>
          <c:showLegendKey val="0"/>
          <c:showVal val="0"/>
          <c:showCatName val="0"/>
          <c:showSerName val="0"/>
          <c:showPercent val="0"/>
          <c:showBubbleSize val="0"/>
        </c:dLbls>
        <c:gapWidth val="0"/>
        <c:axId val="601491912"/>
        <c:axId val="601495832"/>
      </c:barChart>
      <c:lineChart>
        <c:grouping val="standard"/>
        <c:varyColors val="0"/>
        <c:ser>
          <c:idx val="1"/>
          <c:order val="1"/>
          <c:tx>
            <c:v>Acumulado</c:v>
          </c:tx>
          <c:spPr>
            <a:ln w="28575" cap="rnd">
              <a:solidFill>
                <a:schemeClr val="accent2"/>
              </a:solidFill>
              <a:round/>
            </a:ln>
            <a:effectLst/>
          </c:spPr>
          <c:marker>
            <c:symbol val="none"/>
          </c:marker>
          <c:val>
            <c:numRef>
              <c:f>ARS!$O$1641:$O$1650</c:f>
              <c:numCache>
                <c:formatCode>#,##0.00</c:formatCode>
                <c:ptCount val="10"/>
                <c:pt idx="0">
                  <c:v>-5000000</c:v>
                </c:pt>
                <c:pt idx="1">
                  <c:v>-3556166.6666666665</c:v>
                </c:pt>
                <c:pt idx="2">
                  <c:v>-2136304.0104166665</c:v>
                </c:pt>
                <c:pt idx="3">
                  <c:v>-755444.78125</c:v>
                </c:pt>
                <c:pt idx="4">
                  <c:v>466570.0243055555</c:v>
                </c:pt>
                <c:pt idx="5">
                  <c:v>1431593.5243055555</c:v>
                </c:pt>
                <c:pt idx="6">
                  <c:v>2261410.217013889</c:v>
                </c:pt>
                <c:pt idx="7">
                  <c:v>3019317.588541667</c:v>
                </c:pt>
                <c:pt idx="8">
                  <c:v>3709776.072916667</c:v>
                </c:pt>
                <c:pt idx="9">
                  <c:v>4333843.600694445</c:v>
                </c:pt>
              </c:numCache>
            </c:numRef>
          </c:val>
          <c:smooth val="0"/>
          <c:extLst>
            <c:ext xmlns:c16="http://schemas.microsoft.com/office/drawing/2014/chart" uri="{C3380CC4-5D6E-409C-BE32-E72D297353CC}">
              <c16:uniqueId val="{00000001-E45C-4CBA-BBFF-1AB6749C05C8}"/>
            </c:ext>
          </c:extLst>
        </c:ser>
        <c:dLbls>
          <c:showLegendKey val="0"/>
          <c:showVal val="0"/>
          <c:showCatName val="0"/>
          <c:showSerName val="0"/>
          <c:showPercent val="0"/>
          <c:showBubbleSize val="0"/>
        </c:dLbls>
        <c:marker val="1"/>
        <c:smooth val="0"/>
        <c:axId val="601491912"/>
        <c:axId val="601495832"/>
      </c:lineChart>
      <c:dateAx>
        <c:axId val="6014919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5832"/>
        <c:crosses val="autoZero"/>
        <c:auto val="0"/>
        <c:lblOffset val="50"/>
        <c:baseTimeUnit val="months"/>
        <c:majorUnit val="6"/>
        <c:majorTimeUnit val="months"/>
      </c:dateAx>
      <c:valAx>
        <c:axId val="60149583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19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9735616.4383561648</c:v>
                </c:pt>
                <c:pt idx="1">
                  <c:v>9735616.4383561648</c:v>
                </c:pt>
                <c:pt idx="2">
                  <c:v>9418150.6849315073</c:v>
                </c:pt>
                <c:pt idx="3">
                  <c:v>59817808.219173074</c:v>
                </c:pt>
                <c:pt idx="4">
                  <c:v>6490410.9589044349</c:v>
                </c:pt>
                <c:pt idx="5">
                  <c:v>46490410.958900437</c:v>
                </c:pt>
                <c:pt idx="6">
                  <c:v>3174657.5342472102</c:v>
                </c:pt>
              </c:numCache>
            </c:numRef>
          </c:val>
          <c:extLst>
            <c:ext xmlns:c16="http://schemas.microsoft.com/office/drawing/2014/chart" uri="{C3380CC4-5D6E-409C-BE32-E72D297353CC}">
              <c16:uniqueId val="{00000000-A6DC-4A0E-8C3C-4A1AE796D0FB}"/>
            </c:ext>
          </c:extLst>
        </c:ser>
        <c:dLbls>
          <c:showLegendKey val="0"/>
          <c:showVal val="0"/>
          <c:showCatName val="0"/>
          <c:showSerName val="0"/>
          <c:showPercent val="0"/>
          <c:showBubbleSize val="0"/>
        </c:dLbls>
        <c:gapWidth val="0"/>
        <c:axId val="601486816"/>
        <c:axId val="601486424"/>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9735616.4383561648</c:v>
                </c:pt>
                <c:pt idx="1">
                  <c:v>19471232.87671233</c:v>
                </c:pt>
                <c:pt idx="2">
                  <c:v>28889383.561643839</c:v>
                </c:pt>
                <c:pt idx="3">
                  <c:v>88707191.780816913</c:v>
                </c:pt>
                <c:pt idx="4">
                  <c:v>95197602.739721343</c:v>
                </c:pt>
                <c:pt idx="5">
                  <c:v>141688013.69862178</c:v>
                </c:pt>
                <c:pt idx="6">
                  <c:v>144862671.232869</c:v>
                </c:pt>
              </c:numCache>
            </c:numRef>
          </c:val>
          <c:smooth val="0"/>
          <c:extLst>
            <c:ext xmlns:c16="http://schemas.microsoft.com/office/drawing/2014/chart" uri="{C3380CC4-5D6E-409C-BE32-E72D297353CC}">
              <c16:uniqueId val="{00000001-A6DC-4A0E-8C3C-4A1AE796D0FB}"/>
            </c:ext>
          </c:extLst>
        </c:ser>
        <c:dLbls>
          <c:showLegendKey val="0"/>
          <c:showVal val="0"/>
          <c:showCatName val="0"/>
          <c:showSerName val="0"/>
          <c:showPercent val="0"/>
          <c:showBubbleSize val="0"/>
        </c:dLbls>
        <c:marker val="1"/>
        <c:smooth val="0"/>
        <c:axId val="601486816"/>
        <c:axId val="601486424"/>
      </c:lineChart>
      <c:dateAx>
        <c:axId val="601486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6424"/>
        <c:crosses val="autoZero"/>
        <c:auto val="0"/>
        <c:lblOffset val="50"/>
        <c:baseTimeUnit val="months"/>
        <c:majorUnit val="6"/>
        <c:majorTimeUnit val="months"/>
      </c:dateAx>
      <c:valAx>
        <c:axId val="60148642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681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ARS!$H$1862:$H$1868</c:f>
              <c:numCache>
                <c:formatCode>dd/mm/yyyy;@</c:formatCode>
                <c:ptCount val="7"/>
                <c:pt idx="0">
                  <c:v>43648</c:v>
                </c:pt>
                <c:pt idx="1">
                  <c:v>43832</c:v>
                </c:pt>
                <c:pt idx="2">
                  <c:v>44014</c:v>
                </c:pt>
                <c:pt idx="3">
                  <c:v>44200</c:v>
                </c:pt>
                <c:pt idx="4">
                  <c:v>44379</c:v>
                </c:pt>
                <c:pt idx="5">
                  <c:v>44564</c:v>
                </c:pt>
                <c:pt idx="6">
                  <c:v>44744</c:v>
                </c:pt>
              </c:numCache>
            </c:numRef>
          </c:cat>
          <c:val>
            <c:numRef>
              <c:f>ARS!$M$1862:$M$1868</c:f>
              <c:numCache>
                <c:formatCode>#,##0.00</c:formatCode>
                <c:ptCount val="7"/>
                <c:pt idx="0">
                  <c:v>-3000000</c:v>
                </c:pt>
                <c:pt idx="1">
                  <c:v>1087117.5</c:v>
                </c:pt>
                <c:pt idx="2">
                  <c:v>838185.375</c:v>
                </c:pt>
                <c:pt idx="3">
                  <c:v>998226</c:v>
                </c:pt>
                <c:pt idx="4">
                  <c:v>887429.25</c:v>
                </c:pt>
                <c:pt idx="5">
                  <c:v>798042.5</c:v>
                </c:pt>
                <c:pt idx="6">
                  <c:v>697415.5</c:v>
                </c:pt>
              </c:numCache>
            </c:numRef>
          </c:val>
          <c:extLst>
            <c:ext xmlns:c16="http://schemas.microsoft.com/office/drawing/2014/chart" uri="{C3380CC4-5D6E-409C-BE32-E72D297353CC}">
              <c16:uniqueId val="{00000000-798B-4681-BED2-64B5F4ECAE39}"/>
            </c:ext>
          </c:extLst>
        </c:ser>
        <c:dLbls>
          <c:showLegendKey val="0"/>
          <c:showVal val="0"/>
          <c:showCatName val="0"/>
          <c:showSerName val="0"/>
          <c:showPercent val="0"/>
          <c:showBubbleSize val="0"/>
        </c:dLbls>
        <c:gapWidth val="0"/>
        <c:axId val="601487208"/>
        <c:axId val="601496616"/>
      </c:barChart>
      <c:lineChart>
        <c:grouping val="standard"/>
        <c:varyColors val="0"/>
        <c:ser>
          <c:idx val="1"/>
          <c:order val="1"/>
          <c:tx>
            <c:v>Acumulado</c:v>
          </c:tx>
          <c:spPr>
            <a:ln w="28575" cap="rnd">
              <a:solidFill>
                <a:schemeClr val="accent2"/>
              </a:solidFill>
              <a:round/>
            </a:ln>
            <a:effectLst/>
          </c:spPr>
          <c:marker>
            <c:symbol val="none"/>
          </c:marker>
          <c:val>
            <c:numRef>
              <c:f>ARS!$O$1712:$O$1718</c:f>
              <c:numCache>
                <c:formatCode>#,##0.00</c:formatCode>
                <c:ptCount val="7"/>
                <c:pt idx="0">
                  <c:v>-3000000</c:v>
                </c:pt>
                <c:pt idx="1">
                  <c:v>-1912882.5</c:v>
                </c:pt>
                <c:pt idx="2">
                  <c:v>-1074697.125</c:v>
                </c:pt>
                <c:pt idx="3">
                  <c:v>-76471.125</c:v>
                </c:pt>
                <c:pt idx="4">
                  <c:v>810958.125</c:v>
                </c:pt>
                <c:pt idx="5">
                  <c:v>1609000.625</c:v>
                </c:pt>
                <c:pt idx="6">
                  <c:v>2306416.125</c:v>
                </c:pt>
              </c:numCache>
            </c:numRef>
          </c:val>
          <c:smooth val="0"/>
          <c:extLst>
            <c:ext xmlns:c16="http://schemas.microsoft.com/office/drawing/2014/chart" uri="{C3380CC4-5D6E-409C-BE32-E72D297353CC}">
              <c16:uniqueId val="{00000001-798B-4681-BED2-64B5F4ECAE39}"/>
            </c:ext>
          </c:extLst>
        </c:ser>
        <c:dLbls>
          <c:showLegendKey val="0"/>
          <c:showVal val="0"/>
          <c:showCatName val="0"/>
          <c:showSerName val="0"/>
          <c:showPercent val="0"/>
          <c:showBubbleSize val="0"/>
        </c:dLbls>
        <c:marker val="1"/>
        <c:smooth val="0"/>
        <c:axId val="601487208"/>
        <c:axId val="601496616"/>
      </c:lineChart>
      <c:dateAx>
        <c:axId val="6014872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6616"/>
        <c:crosses val="autoZero"/>
        <c:auto val="0"/>
        <c:lblOffset val="50"/>
        <c:baseTimeUnit val="months"/>
        <c:majorUnit val="6"/>
        <c:majorTimeUnit val="months"/>
      </c:dateAx>
      <c:valAx>
        <c:axId val="601496616"/>
        <c:scaling>
          <c:orientation val="minMax"/>
          <c:max val="2500000"/>
          <c:min val="-3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72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ARS!$H$1934:$H$1940</c:f>
              <c:numCache>
                <c:formatCode>dd/mm/yyyy;@</c:formatCode>
                <c:ptCount val="7"/>
                <c:pt idx="0">
                  <c:v>43608</c:v>
                </c:pt>
                <c:pt idx="1">
                  <c:v>43794</c:v>
                </c:pt>
                <c:pt idx="2">
                  <c:v>43976</c:v>
                </c:pt>
                <c:pt idx="3">
                  <c:v>44158</c:v>
                </c:pt>
                <c:pt idx="4">
                  <c:v>44340</c:v>
                </c:pt>
                <c:pt idx="5">
                  <c:v>44523</c:v>
                </c:pt>
                <c:pt idx="6">
                  <c:v>44704</c:v>
                </c:pt>
              </c:numCache>
            </c:numRef>
          </c:cat>
          <c:val>
            <c:numRef>
              <c:f>ARS!$M$1934:$M$1940</c:f>
              <c:numCache>
                <c:formatCode>#,##0.00</c:formatCode>
                <c:ptCount val="7"/>
                <c:pt idx="0">
                  <c:v>-5000000</c:v>
                </c:pt>
                <c:pt idx="1">
                  <c:v>2321645.833333333</c:v>
                </c:pt>
                <c:pt idx="2">
                  <c:v>1757951.015625</c:v>
                </c:pt>
                <c:pt idx="3">
                  <c:v>1408184.4583333335</c:v>
                </c:pt>
                <c:pt idx="4">
                  <c:v>1264474.6041666667</c:v>
                </c:pt>
                <c:pt idx="5">
                  <c:v>1122345.875</c:v>
                </c:pt>
                <c:pt idx="6">
                  <c:v>978263.38541666663</c:v>
                </c:pt>
              </c:numCache>
            </c:numRef>
          </c:val>
          <c:extLst>
            <c:ext xmlns:c16="http://schemas.microsoft.com/office/drawing/2014/chart" uri="{C3380CC4-5D6E-409C-BE32-E72D297353CC}">
              <c16:uniqueId val="{00000000-28A4-48C4-ADD5-958C70C38A05}"/>
            </c:ext>
          </c:extLst>
        </c:ser>
        <c:dLbls>
          <c:showLegendKey val="0"/>
          <c:showVal val="0"/>
          <c:showCatName val="0"/>
          <c:showSerName val="0"/>
          <c:showPercent val="0"/>
          <c:showBubbleSize val="0"/>
        </c:dLbls>
        <c:gapWidth val="0"/>
        <c:axId val="601489168"/>
        <c:axId val="601489560"/>
      </c:barChart>
      <c:lineChart>
        <c:grouping val="standard"/>
        <c:varyColors val="0"/>
        <c:ser>
          <c:idx val="1"/>
          <c:order val="1"/>
          <c:tx>
            <c:v>Acumulado</c:v>
          </c:tx>
          <c:spPr>
            <a:ln w="28575" cap="rnd">
              <a:solidFill>
                <a:schemeClr val="accent2"/>
              </a:solidFill>
              <a:round/>
            </a:ln>
            <a:effectLst/>
          </c:spPr>
          <c:marker>
            <c:symbol val="none"/>
          </c:marker>
          <c:val>
            <c:numRef>
              <c:f>ARS!$O$1785:$O$1791</c:f>
              <c:numCache>
                <c:formatCode>#,##0.00</c:formatCode>
                <c:ptCount val="7"/>
                <c:pt idx="0">
                  <c:v>-5000000</c:v>
                </c:pt>
                <c:pt idx="1">
                  <c:v>-2678354.166666667</c:v>
                </c:pt>
                <c:pt idx="2">
                  <c:v>-920403.15104166698</c:v>
                </c:pt>
                <c:pt idx="3">
                  <c:v>487781.30729166651</c:v>
                </c:pt>
                <c:pt idx="4">
                  <c:v>1752255.9114583333</c:v>
                </c:pt>
                <c:pt idx="5">
                  <c:v>2874601.786458333</c:v>
                </c:pt>
                <c:pt idx="6">
                  <c:v>3852865.1718749995</c:v>
                </c:pt>
              </c:numCache>
            </c:numRef>
          </c:val>
          <c:smooth val="0"/>
          <c:extLst>
            <c:ext xmlns:c16="http://schemas.microsoft.com/office/drawing/2014/chart" uri="{C3380CC4-5D6E-409C-BE32-E72D297353CC}">
              <c16:uniqueId val="{00000001-28A4-48C4-ADD5-958C70C38A05}"/>
            </c:ext>
          </c:extLst>
        </c:ser>
        <c:dLbls>
          <c:showLegendKey val="0"/>
          <c:showVal val="0"/>
          <c:showCatName val="0"/>
          <c:showSerName val="0"/>
          <c:showPercent val="0"/>
          <c:showBubbleSize val="0"/>
        </c:dLbls>
        <c:marker val="1"/>
        <c:smooth val="0"/>
        <c:axId val="601489168"/>
        <c:axId val="601489560"/>
      </c:lineChart>
      <c:dateAx>
        <c:axId val="601489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89560"/>
        <c:crosses val="autoZero"/>
        <c:auto val="0"/>
        <c:lblOffset val="50"/>
        <c:baseTimeUnit val="months"/>
        <c:majorUnit val="6"/>
        <c:majorTimeUnit val="months"/>
      </c:dateAx>
      <c:valAx>
        <c:axId val="6014895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ARS!$H$1970:$H$1982</c:f>
              <c:numCache>
                <c:formatCode>dd/mm/yyyy;@</c:formatCode>
                <c:ptCount val="13"/>
                <c:pt idx="0">
                  <c:v>43391</c:v>
                </c:pt>
                <c:pt idx="1">
                  <c:v>43483</c:v>
                </c:pt>
                <c:pt idx="2">
                  <c:v>43573</c:v>
                </c:pt>
                <c:pt idx="3">
                  <c:v>43664</c:v>
                </c:pt>
                <c:pt idx="4">
                  <c:v>43756</c:v>
                </c:pt>
                <c:pt idx="5">
                  <c:v>43850</c:v>
                </c:pt>
                <c:pt idx="6">
                  <c:v>43941</c:v>
                </c:pt>
                <c:pt idx="7">
                  <c:v>44032</c:v>
                </c:pt>
                <c:pt idx="8">
                  <c:v>44123</c:v>
                </c:pt>
                <c:pt idx="9">
                  <c:v>44214</c:v>
                </c:pt>
                <c:pt idx="10">
                  <c:v>44305</c:v>
                </c:pt>
                <c:pt idx="11">
                  <c:v>44396</c:v>
                </c:pt>
                <c:pt idx="12">
                  <c:v>44487</c:v>
                </c:pt>
              </c:numCache>
            </c:numRef>
          </c:cat>
          <c:val>
            <c:numRef>
              <c:f>ARS!$M$1970:$M$1982</c:f>
              <c:numCache>
                <c:formatCode>#,##0.00</c:formatCode>
                <c:ptCount val="13"/>
                <c:pt idx="0">
                  <c:v>-8000000</c:v>
                </c:pt>
                <c:pt idx="1">
                  <c:v>1146166.6666666665</c:v>
                </c:pt>
                <c:pt idx="2">
                  <c:v>1827500</c:v>
                </c:pt>
                <c:pt idx="3">
                  <c:v>1758575.4166666665</c:v>
                </c:pt>
                <c:pt idx="4">
                  <c:v>1732153.3333333333</c:v>
                </c:pt>
                <c:pt idx="5">
                  <c:v>1563930.6944444445</c:v>
                </c:pt>
                <c:pt idx="6">
                  <c:v>1238497.7777777778</c:v>
                </c:pt>
                <c:pt idx="7">
                  <c:v>1099545.8333333335</c:v>
                </c:pt>
                <c:pt idx="8">
                  <c:v>1037438.3333333334</c:v>
                </c:pt>
                <c:pt idx="9">
                  <c:v>975330.83333333337</c:v>
                </c:pt>
                <c:pt idx="10">
                  <c:v>913223.33333333337</c:v>
                </c:pt>
                <c:pt idx="11">
                  <c:v>851115.83333333337</c:v>
                </c:pt>
                <c:pt idx="12">
                  <c:v>869008.33333333337</c:v>
                </c:pt>
              </c:numCache>
            </c:numRef>
          </c:val>
          <c:extLst>
            <c:ext xmlns:c16="http://schemas.microsoft.com/office/drawing/2014/chart" uri="{C3380CC4-5D6E-409C-BE32-E72D297353CC}">
              <c16:uniqueId val="{00000000-2172-4527-81A4-3EA2010540F1}"/>
            </c:ext>
          </c:extLst>
        </c:ser>
        <c:dLbls>
          <c:showLegendKey val="0"/>
          <c:showVal val="0"/>
          <c:showCatName val="0"/>
          <c:showSerName val="0"/>
          <c:showPercent val="0"/>
          <c:showBubbleSize val="0"/>
        </c:dLbls>
        <c:gapWidth val="0"/>
        <c:axId val="601497008"/>
        <c:axId val="601491128"/>
      </c:barChart>
      <c:lineChart>
        <c:grouping val="standard"/>
        <c:varyColors val="0"/>
        <c:ser>
          <c:idx val="1"/>
          <c:order val="1"/>
          <c:tx>
            <c:v>Acumulado</c:v>
          </c:tx>
          <c:spPr>
            <a:ln w="28575" cap="rnd">
              <a:solidFill>
                <a:schemeClr val="accent2"/>
              </a:solidFill>
              <a:round/>
            </a:ln>
            <a:effectLst/>
          </c:spPr>
          <c:marker>
            <c:symbol val="none"/>
          </c:marker>
          <c:val>
            <c:numRef>
              <c:f>ARS!$O$1820:$O$1832</c:f>
              <c:numCache>
                <c:formatCode>#,##0.00</c:formatCode>
                <c:ptCount val="13"/>
                <c:pt idx="0">
                  <c:v>-8000000</c:v>
                </c:pt>
                <c:pt idx="1">
                  <c:v>-6853833.333333334</c:v>
                </c:pt>
                <c:pt idx="2">
                  <c:v>-5026333.333333334</c:v>
                </c:pt>
                <c:pt idx="3">
                  <c:v>-3267757.9166666674</c:v>
                </c:pt>
                <c:pt idx="4">
                  <c:v>-1535604.5833333342</c:v>
                </c:pt>
                <c:pt idx="5">
                  <c:v>28326.111111110309</c:v>
                </c:pt>
                <c:pt idx="6">
                  <c:v>1266823.8888888881</c:v>
                </c:pt>
                <c:pt idx="7">
                  <c:v>2366369.7222222215</c:v>
                </c:pt>
                <c:pt idx="8">
                  <c:v>3403808.055555555</c:v>
                </c:pt>
                <c:pt idx="9">
                  <c:v>4379138.8888888881</c:v>
                </c:pt>
                <c:pt idx="10">
                  <c:v>5292362.2222222211</c:v>
                </c:pt>
                <c:pt idx="11">
                  <c:v>6143478.0555555541</c:v>
                </c:pt>
                <c:pt idx="12">
                  <c:v>7012486.3888888871</c:v>
                </c:pt>
              </c:numCache>
            </c:numRef>
          </c:val>
          <c:smooth val="0"/>
          <c:extLst>
            <c:ext xmlns:c16="http://schemas.microsoft.com/office/drawing/2014/chart" uri="{C3380CC4-5D6E-409C-BE32-E72D297353CC}">
              <c16:uniqueId val="{00000001-2172-4527-81A4-3EA2010540F1}"/>
            </c:ext>
          </c:extLst>
        </c:ser>
        <c:dLbls>
          <c:showLegendKey val="0"/>
          <c:showVal val="0"/>
          <c:showCatName val="0"/>
          <c:showSerName val="0"/>
          <c:showPercent val="0"/>
          <c:showBubbleSize val="0"/>
        </c:dLbls>
        <c:marker val="1"/>
        <c:smooth val="0"/>
        <c:axId val="601497008"/>
        <c:axId val="601491128"/>
      </c:lineChart>
      <c:dateAx>
        <c:axId val="6014970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1128"/>
        <c:crosses val="autoZero"/>
        <c:auto val="0"/>
        <c:lblOffset val="50"/>
        <c:baseTimeUnit val="months"/>
        <c:majorUnit val="6"/>
        <c:majorTimeUnit val="months"/>
      </c:dateAx>
      <c:valAx>
        <c:axId val="601491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00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ARS!$H$2012:$H$2024</c:f>
              <c:numCache>
                <c:formatCode>dd/mm/yyyy;@</c:formatCode>
                <c:ptCount val="13"/>
                <c:pt idx="0">
                  <c:v>43515</c:v>
                </c:pt>
                <c:pt idx="1">
                  <c:v>43605</c:v>
                </c:pt>
                <c:pt idx="2">
                  <c:v>43696</c:v>
                </c:pt>
                <c:pt idx="3">
                  <c:v>43788</c:v>
                </c:pt>
                <c:pt idx="4">
                  <c:v>43880</c:v>
                </c:pt>
                <c:pt idx="5">
                  <c:v>43970</c:v>
                </c:pt>
                <c:pt idx="6">
                  <c:v>44062</c:v>
                </c:pt>
                <c:pt idx="7">
                  <c:v>44154</c:v>
                </c:pt>
                <c:pt idx="8">
                  <c:v>44246</c:v>
                </c:pt>
                <c:pt idx="9">
                  <c:v>44335</c:v>
                </c:pt>
                <c:pt idx="10">
                  <c:v>44427</c:v>
                </c:pt>
                <c:pt idx="11">
                  <c:v>44519</c:v>
                </c:pt>
                <c:pt idx="12">
                  <c:v>44613</c:v>
                </c:pt>
              </c:numCache>
            </c:numRef>
          </c:cat>
          <c:val>
            <c:numRef>
              <c:f>ARS!$M$2012:$M$2024</c:f>
              <c:numCache>
                <c:formatCode>#,##0.00</c:formatCode>
                <c:ptCount val="13"/>
                <c:pt idx="0">
                  <c:v>-8000000</c:v>
                </c:pt>
                <c:pt idx="1">
                  <c:v>1066250</c:v>
                </c:pt>
                <c:pt idx="2">
                  <c:v>1938388.8888888888</c:v>
                </c:pt>
                <c:pt idx="3">
                  <c:v>1794406.6666666667</c:v>
                </c:pt>
                <c:pt idx="4">
                  <c:v>1541457.777777778</c:v>
                </c:pt>
                <c:pt idx="5">
                  <c:v>1279362.5</c:v>
                </c:pt>
                <c:pt idx="6">
                  <c:v>1166506.6666666667</c:v>
                </c:pt>
                <c:pt idx="7">
                  <c:v>1103716.6666666667</c:v>
                </c:pt>
                <c:pt idx="8">
                  <c:v>1040926.6666666667</c:v>
                </c:pt>
                <c:pt idx="9">
                  <c:v>969719.16666666674</c:v>
                </c:pt>
                <c:pt idx="10">
                  <c:v>915346.66666666663</c:v>
                </c:pt>
                <c:pt idx="11">
                  <c:v>852556.66666666663</c:v>
                </c:pt>
                <c:pt idx="12">
                  <c:v>871283.33333333337</c:v>
                </c:pt>
              </c:numCache>
            </c:numRef>
          </c:val>
          <c:extLst>
            <c:ext xmlns:c16="http://schemas.microsoft.com/office/drawing/2014/chart" uri="{C3380CC4-5D6E-409C-BE32-E72D297353CC}">
              <c16:uniqueId val="{00000000-4477-4DE8-A0EC-6ED6139B96FD}"/>
            </c:ext>
          </c:extLst>
        </c:ser>
        <c:dLbls>
          <c:showLegendKey val="0"/>
          <c:showVal val="0"/>
          <c:showCatName val="0"/>
          <c:showSerName val="0"/>
          <c:showPercent val="0"/>
          <c:showBubbleSize val="0"/>
        </c:dLbls>
        <c:gapWidth val="0"/>
        <c:axId val="601489952"/>
        <c:axId val="601490736"/>
      </c:barChart>
      <c:lineChart>
        <c:grouping val="standard"/>
        <c:varyColors val="0"/>
        <c:ser>
          <c:idx val="1"/>
          <c:order val="1"/>
          <c:tx>
            <c:v>Acumulado</c:v>
          </c:tx>
          <c:spPr>
            <a:ln w="28575" cap="rnd">
              <a:solidFill>
                <a:schemeClr val="accent2"/>
              </a:solidFill>
              <a:round/>
            </a:ln>
            <a:effectLst/>
          </c:spPr>
          <c:marker>
            <c:symbol val="none"/>
          </c:marker>
          <c:val>
            <c:numRef>
              <c:f>ARS!$O$1865:$O$1877</c:f>
              <c:numCache>
                <c:formatCode>#,##0.00</c:formatCode>
                <c:ptCount val="13"/>
                <c:pt idx="0">
                  <c:v>-8000000</c:v>
                </c:pt>
                <c:pt idx="1">
                  <c:v>-6933750</c:v>
                </c:pt>
                <c:pt idx="2">
                  <c:v>-4995361.111111111</c:v>
                </c:pt>
                <c:pt idx="3">
                  <c:v>-3200954.444444444</c:v>
                </c:pt>
                <c:pt idx="4">
                  <c:v>-1659496.666666666</c:v>
                </c:pt>
                <c:pt idx="5">
                  <c:v>-380134.16666666605</c:v>
                </c:pt>
                <c:pt idx="6">
                  <c:v>786372.5000000007</c:v>
                </c:pt>
                <c:pt idx="7">
                  <c:v>1890089.1666666674</c:v>
                </c:pt>
                <c:pt idx="8">
                  <c:v>2931015.833333334</c:v>
                </c:pt>
                <c:pt idx="9">
                  <c:v>3900735.0000000009</c:v>
                </c:pt>
                <c:pt idx="10">
                  <c:v>4816081.6666666679</c:v>
                </c:pt>
                <c:pt idx="11">
                  <c:v>5668638.3333333349</c:v>
                </c:pt>
                <c:pt idx="12">
                  <c:v>6539921.6666666679</c:v>
                </c:pt>
              </c:numCache>
            </c:numRef>
          </c:val>
          <c:smooth val="0"/>
          <c:extLst>
            <c:ext xmlns:c16="http://schemas.microsoft.com/office/drawing/2014/chart" uri="{C3380CC4-5D6E-409C-BE32-E72D297353CC}">
              <c16:uniqueId val="{00000001-4477-4DE8-A0EC-6ED6139B96FD}"/>
            </c:ext>
          </c:extLst>
        </c:ser>
        <c:dLbls>
          <c:showLegendKey val="0"/>
          <c:showVal val="0"/>
          <c:showCatName val="0"/>
          <c:showSerName val="0"/>
          <c:showPercent val="0"/>
          <c:showBubbleSize val="0"/>
        </c:dLbls>
        <c:marker val="1"/>
        <c:smooth val="0"/>
        <c:axId val="601489952"/>
        <c:axId val="601490736"/>
      </c:lineChart>
      <c:dateAx>
        <c:axId val="601489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0736"/>
        <c:crosses val="autoZero"/>
        <c:auto val="0"/>
        <c:lblOffset val="50"/>
        <c:baseTimeUnit val="months"/>
        <c:majorUnit val="6"/>
        <c:majorTimeUnit val="months"/>
      </c:dateAx>
      <c:valAx>
        <c:axId val="601490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89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ARS!$H$2054:$H$2062</c:f>
              <c:numCache>
                <c:formatCode>dd/mm/yyyy;@</c:formatCode>
                <c:ptCount val="9"/>
                <c:pt idx="0">
                  <c:v>43406</c:v>
                </c:pt>
                <c:pt idx="1">
                  <c:v>43500</c:v>
                </c:pt>
                <c:pt idx="2">
                  <c:v>43587</c:v>
                </c:pt>
                <c:pt idx="3">
                  <c:v>43679</c:v>
                </c:pt>
                <c:pt idx="4">
                  <c:v>43773</c:v>
                </c:pt>
                <c:pt idx="5">
                  <c:v>43864</c:v>
                </c:pt>
                <c:pt idx="6">
                  <c:v>43955</c:v>
                </c:pt>
                <c:pt idx="7">
                  <c:v>44046</c:v>
                </c:pt>
                <c:pt idx="8">
                  <c:v>44137</c:v>
                </c:pt>
              </c:numCache>
            </c:numRef>
          </c:cat>
          <c:val>
            <c:numRef>
              <c:f>ARS!$M$2054:$M$2062</c:f>
              <c:numCache>
                <c:formatCode>#,##0.00</c:formatCode>
                <c:ptCount val="9"/>
                <c:pt idx="0">
                  <c:v>-2000000</c:v>
                </c:pt>
                <c:pt idx="1">
                  <c:v>540812.5</c:v>
                </c:pt>
                <c:pt idx="2">
                  <c:v>481414.71354166663</c:v>
                </c:pt>
                <c:pt idx="3">
                  <c:v>466942.70833333337</c:v>
                </c:pt>
                <c:pt idx="4">
                  <c:v>441039.49652777775</c:v>
                </c:pt>
                <c:pt idx="5">
                  <c:v>379548.61111111112</c:v>
                </c:pt>
                <c:pt idx="6">
                  <c:v>321271.484375</c:v>
                </c:pt>
                <c:pt idx="7">
                  <c:v>292182.29166666669</c:v>
                </c:pt>
                <c:pt idx="8">
                  <c:v>271091.14583333331</c:v>
                </c:pt>
              </c:numCache>
            </c:numRef>
          </c:val>
          <c:extLst>
            <c:ext xmlns:c16="http://schemas.microsoft.com/office/drawing/2014/chart" uri="{C3380CC4-5D6E-409C-BE32-E72D297353CC}">
              <c16:uniqueId val="{00000000-6A4A-4175-AFF4-8DBDFEC683B5}"/>
            </c:ext>
          </c:extLst>
        </c:ser>
        <c:dLbls>
          <c:showLegendKey val="0"/>
          <c:showVal val="0"/>
          <c:showCatName val="0"/>
          <c:showSerName val="0"/>
          <c:showPercent val="0"/>
          <c:showBubbleSize val="0"/>
        </c:dLbls>
        <c:gapWidth val="0"/>
        <c:axId val="601492304"/>
        <c:axId val="601492696"/>
      </c:barChart>
      <c:lineChart>
        <c:grouping val="standard"/>
        <c:varyColors val="0"/>
        <c:ser>
          <c:idx val="1"/>
          <c:order val="1"/>
          <c:tx>
            <c:v>Acumulado</c:v>
          </c:tx>
          <c:spPr>
            <a:ln w="28575" cap="rnd">
              <a:solidFill>
                <a:schemeClr val="accent2"/>
              </a:solidFill>
              <a:round/>
            </a:ln>
            <a:effectLst/>
          </c:spPr>
          <c:marker>
            <c:symbol val="none"/>
          </c:marker>
          <c:val>
            <c:numRef>
              <c:f>ARS!$O$1903:$O$1911</c:f>
              <c:numCache>
                <c:formatCode>#,##0.00</c:formatCode>
                <c:ptCount val="9"/>
                <c:pt idx="0">
                  <c:v>-2000000</c:v>
                </c:pt>
                <c:pt idx="1">
                  <c:v>-1459187.5</c:v>
                </c:pt>
                <c:pt idx="2">
                  <c:v>-977772.78645833337</c:v>
                </c:pt>
                <c:pt idx="3">
                  <c:v>-510830.078125</c:v>
                </c:pt>
                <c:pt idx="4">
                  <c:v>-69790.581597222248</c:v>
                </c:pt>
                <c:pt idx="5">
                  <c:v>309758.02951388888</c:v>
                </c:pt>
                <c:pt idx="6">
                  <c:v>631029.51388888888</c:v>
                </c:pt>
                <c:pt idx="7">
                  <c:v>923211.8055555555</c:v>
                </c:pt>
                <c:pt idx="8">
                  <c:v>1194302.9513888888</c:v>
                </c:pt>
              </c:numCache>
            </c:numRef>
          </c:val>
          <c:smooth val="0"/>
          <c:extLst>
            <c:ext xmlns:c16="http://schemas.microsoft.com/office/drawing/2014/chart" uri="{C3380CC4-5D6E-409C-BE32-E72D297353CC}">
              <c16:uniqueId val="{00000001-6A4A-4175-AFF4-8DBDFEC683B5}"/>
            </c:ext>
          </c:extLst>
        </c:ser>
        <c:dLbls>
          <c:showLegendKey val="0"/>
          <c:showVal val="0"/>
          <c:showCatName val="0"/>
          <c:showSerName val="0"/>
          <c:showPercent val="0"/>
          <c:showBubbleSize val="0"/>
        </c:dLbls>
        <c:marker val="1"/>
        <c:smooth val="0"/>
        <c:axId val="601492304"/>
        <c:axId val="601492696"/>
      </c:lineChart>
      <c:dateAx>
        <c:axId val="6014923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2696"/>
        <c:crosses val="autoZero"/>
        <c:auto val="0"/>
        <c:lblOffset val="50"/>
        <c:baseTimeUnit val="months"/>
        <c:majorUnit val="6"/>
        <c:majorTimeUnit val="months"/>
      </c:dateAx>
      <c:valAx>
        <c:axId val="60149269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230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ARS!$H$2127:$H$2131</c:f>
              <c:numCache>
                <c:formatCode>dd/mm/yyyy;@</c:formatCode>
                <c:ptCount val="5"/>
                <c:pt idx="0">
                  <c:v>43572</c:v>
                </c:pt>
                <c:pt idx="1">
                  <c:v>43755</c:v>
                </c:pt>
                <c:pt idx="2">
                  <c:v>43938</c:v>
                </c:pt>
                <c:pt idx="3">
                  <c:v>44123</c:v>
                </c:pt>
                <c:pt idx="4">
                  <c:v>44305</c:v>
                </c:pt>
              </c:numCache>
            </c:numRef>
          </c:cat>
          <c:val>
            <c:numRef>
              <c:f>ARS!$M$2127:$M$2131</c:f>
              <c:numCache>
                <c:formatCode>#,##0.00</c:formatCode>
                <c:ptCount val="5"/>
                <c:pt idx="0">
                  <c:v>-2000000</c:v>
                </c:pt>
                <c:pt idx="1">
                  <c:v>818260.41666666663</c:v>
                </c:pt>
                <c:pt idx="2">
                  <c:v>657785.9375</c:v>
                </c:pt>
                <c:pt idx="3">
                  <c:v>1080583.3333333333</c:v>
                </c:pt>
                <c:pt idx="4">
                  <c:v>938016.66666666674</c:v>
                </c:pt>
              </c:numCache>
            </c:numRef>
          </c:val>
          <c:extLst>
            <c:ext xmlns:c16="http://schemas.microsoft.com/office/drawing/2014/chart" uri="{C3380CC4-5D6E-409C-BE32-E72D297353CC}">
              <c16:uniqueId val="{00000000-1589-4763-A6E7-9C375EE1544F}"/>
            </c:ext>
          </c:extLst>
        </c:ser>
        <c:dLbls>
          <c:showLegendKey val="0"/>
          <c:showVal val="0"/>
          <c:showCatName val="0"/>
          <c:showSerName val="0"/>
          <c:showPercent val="0"/>
          <c:showBubbleSize val="0"/>
        </c:dLbls>
        <c:gapWidth val="0"/>
        <c:axId val="601497792"/>
        <c:axId val="601498576"/>
      </c:barChart>
      <c:lineChart>
        <c:grouping val="standard"/>
        <c:varyColors val="0"/>
        <c:ser>
          <c:idx val="1"/>
          <c:order val="1"/>
          <c:tx>
            <c:v>Acumulado</c:v>
          </c:tx>
          <c:spPr>
            <a:ln w="28575" cap="rnd">
              <a:solidFill>
                <a:schemeClr val="accent2"/>
              </a:solidFill>
              <a:round/>
            </a:ln>
            <a:effectLst/>
          </c:spPr>
          <c:marker>
            <c:symbol val="none"/>
          </c:marker>
          <c:val>
            <c:numRef>
              <c:f>ARS!$O$1974:$O$1978</c:f>
              <c:numCache>
                <c:formatCode>#,##0.00</c:formatCode>
                <c:ptCount val="5"/>
                <c:pt idx="0">
                  <c:v>-2000000</c:v>
                </c:pt>
                <c:pt idx="1">
                  <c:v>-1181739.5833333335</c:v>
                </c:pt>
                <c:pt idx="2">
                  <c:v>-523953.64583333349</c:v>
                </c:pt>
                <c:pt idx="3">
                  <c:v>556629.68749999977</c:v>
                </c:pt>
                <c:pt idx="4">
                  <c:v>1494646.3541666665</c:v>
                </c:pt>
              </c:numCache>
            </c:numRef>
          </c:val>
          <c:smooth val="0"/>
          <c:extLst>
            <c:ext xmlns:c16="http://schemas.microsoft.com/office/drawing/2014/chart" uri="{C3380CC4-5D6E-409C-BE32-E72D297353CC}">
              <c16:uniqueId val="{00000001-1589-4763-A6E7-9C375EE1544F}"/>
            </c:ext>
          </c:extLst>
        </c:ser>
        <c:dLbls>
          <c:showLegendKey val="0"/>
          <c:showVal val="0"/>
          <c:showCatName val="0"/>
          <c:showSerName val="0"/>
          <c:showPercent val="0"/>
          <c:showBubbleSize val="0"/>
        </c:dLbls>
        <c:marker val="1"/>
        <c:smooth val="0"/>
        <c:axId val="601497792"/>
        <c:axId val="601498576"/>
      </c:lineChart>
      <c:dateAx>
        <c:axId val="6014977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8576"/>
        <c:crosses val="autoZero"/>
        <c:auto val="0"/>
        <c:lblOffset val="50"/>
        <c:baseTimeUnit val="months"/>
        <c:majorUnit val="6"/>
        <c:majorTimeUnit val="months"/>
      </c:dateAx>
      <c:valAx>
        <c:axId val="601498576"/>
        <c:scaling>
          <c:orientation val="minMax"/>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779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ARS!$H$2161:$H$2165</c:f>
              <c:numCache>
                <c:formatCode>dd/mm/yyyy;@</c:formatCode>
                <c:ptCount val="5"/>
                <c:pt idx="0">
                  <c:v>43318</c:v>
                </c:pt>
                <c:pt idx="1">
                  <c:v>43502</c:v>
                </c:pt>
                <c:pt idx="2">
                  <c:v>43683</c:v>
                </c:pt>
                <c:pt idx="3">
                  <c:v>43867</c:v>
                </c:pt>
                <c:pt idx="4">
                  <c:v>44049</c:v>
                </c:pt>
              </c:numCache>
            </c:numRef>
          </c:cat>
          <c:val>
            <c:numRef>
              <c:f>ARS!$M$2161:$M$2165</c:f>
              <c:numCache>
                <c:formatCode>#,##0.00</c:formatCode>
                <c:ptCount val="5"/>
                <c:pt idx="0">
                  <c:v>-10000000</c:v>
                </c:pt>
                <c:pt idx="1">
                  <c:v>4996458.333333333</c:v>
                </c:pt>
                <c:pt idx="2">
                  <c:v>4609309.895833333</c:v>
                </c:pt>
                <c:pt idx="3">
                  <c:v>3801736.111111111</c:v>
                </c:pt>
                <c:pt idx="4">
                  <c:v>2996866.3194444445</c:v>
                </c:pt>
              </c:numCache>
            </c:numRef>
          </c:val>
          <c:extLst>
            <c:ext xmlns:c16="http://schemas.microsoft.com/office/drawing/2014/chart" uri="{C3380CC4-5D6E-409C-BE32-E72D297353CC}">
              <c16:uniqueId val="{00000000-2DCA-4052-93CF-29CF71A283C3}"/>
            </c:ext>
          </c:extLst>
        </c:ser>
        <c:dLbls>
          <c:showLegendKey val="0"/>
          <c:showVal val="0"/>
          <c:showCatName val="0"/>
          <c:showSerName val="0"/>
          <c:showPercent val="0"/>
          <c:showBubbleSize val="0"/>
        </c:dLbls>
        <c:gapWidth val="0"/>
        <c:axId val="601498184"/>
        <c:axId val="601499752"/>
      </c:barChart>
      <c:lineChart>
        <c:grouping val="standard"/>
        <c:varyColors val="0"/>
        <c:ser>
          <c:idx val="1"/>
          <c:order val="1"/>
          <c:tx>
            <c:v>Acumulado</c:v>
          </c:tx>
          <c:spPr>
            <a:ln w="28575" cap="rnd">
              <a:solidFill>
                <a:schemeClr val="accent2"/>
              </a:solidFill>
              <a:round/>
            </a:ln>
            <a:effectLst/>
          </c:spPr>
          <c:marker>
            <c:symbol val="none"/>
          </c:marker>
          <c:val>
            <c:numRef>
              <c:f>ARS!$O$2013:$O$2017</c:f>
              <c:numCache>
                <c:formatCode>#,##0.00</c:formatCode>
                <c:ptCount val="5"/>
                <c:pt idx="0">
                  <c:v>-10000000</c:v>
                </c:pt>
                <c:pt idx="1">
                  <c:v>-5003541.666666667</c:v>
                </c:pt>
                <c:pt idx="2">
                  <c:v>-394231.77083333395</c:v>
                </c:pt>
                <c:pt idx="3">
                  <c:v>3407504.3402777771</c:v>
                </c:pt>
                <c:pt idx="4">
                  <c:v>6404370.659722222</c:v>
                </c:pt>
              </c:numCache>
            </c:numRef>
          </c:val>
          <c:smooth val="0"/>
          <c:extLst>
            <c:ext xmlns:c16="http://schemas.microsoft.com/office/drawing/2014/chart" uri="{C3380CC4-5D6E-409C-BE32-E72D297353CC}">
              <c16:uniqueId val="{00000001-2DCA-4052-93CF-29CF71A283C3}"/>
            </c:ext>
          </c:extLst>
        </c:ser>
        <c:dLbls>
          <c:showLegendKey val="0"/>
          <c:showVal val="0"/>
          <c:showCatName val="0"/>
          <c:showSerName val="0"/>
          <c:showPercent val="0"/>
          <c:showBubbleSize val="0"/>
        </c:dLbls>
        <c:marker val="1"/>
        <c:smooth val="0"/>
        <c:axId val="601498184"/>
        <c:axId val="601499752"/>
      </c:lineChart>
      <c:dateAx>
        <c:axId val="601498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499752"/>
        <c:crosses val="autoZero"/>
        <c:auto val="0"/>
        <c:lblOffset val="50"/>
        <c:baseTimeUnit val="months"/>
        <c:majorUnit val="6"/>
        <c:majorTimeUnit val="months"/>
      </c:dateAx>
      <c:valAx>
        <c:axId val="60149975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4981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ARS!$H$2195:$H$2199</c:f>
              <c:numCache>
                <c:formatCode>dd/mm/yyyy;@</c:formatCode>
                <c:ptCount val="5"/>
                <c:pt idx="0">
                  <c:v>43437</c:v>
                </c:pt>
                <c:pt idx="1">
                  <c:v>43619</c:v>
                </c:pt>
                <c:pt idx="2">
                  <c:v>43802</c:v>
                </c:pt>
                <c:pt idx="3">
                  <c:v>43985</c:v>
                </c:pt>
                <c:pt idx="4">
                  <c:v>44168</c:v>
                </c:pt>
              </c:numCache>
            </c:numRef>
          </c:cat>
          <c:val>
            <c:numRef>
              <c:f>ARS!$M$2195:$M$2199</c:f>
              <c:numCache>
                <c:formatCode>#,##0.00</c:formatCode>
                <c:ptCount val="5"/>
                <c:pt idx="0">
                  <c:v>-10000000</c:v>
                </c:pt>
                <c:pt idx="1">
                  <c:v>5554440.277777778</c:v>
                </c:pt>
                <c:pt idx="2">
                  <c:v>4700956.25</c:v>
                </c:pt>
                <c:pt idx="3">
                  <c:v>3620207.8125</c:v>
                </c:pt>
                <c:pt idx="4">
                  <c:v>2939771.875</c:v>
                </c:pt>
              </c:numCache>
            </c:numRef>
          </c:val>
          <c:extLst>
            <c:ext xmlns:c16="http://schemas.microsoft.com/office/drawing/2014/chart" uri="{C3380CC4-5D6E-409C-BE32-E72D297353CC}">
              <c16:uniqueId val="{00000000-8C26-4F81-95A8-189070B47A8E}"/>
            </c:ext>
          </c:extLst>
        </c:ser>
        <c:dLbls>
          <c:showLegendKey val="0"/>
          <c:showVal val="0"/>
          <c:showCatName val="0"/>
          <c:showSerName val="0"/>
          <c:showPercent val="0"/>
          <c:showBubbleSize val="0"/>
        </c:dLbls>
        <c:gapWidth val="0"/>
        <c:axId val="601500536"/>
        <c:axId val="601500928"/>
      </c:barChart>
      <c:lineChart>
        <c:grouping val="standard"/>
        <c:varyColors val="0"/>
        <c:ser>
          <c:idx val="1"/>
          <c:order val="1"/>
          <c:tx>
            <c:v>Acumulado</c:v>
          </c:tx>
          <c:spPr>
            <a:ln w="28575" cap="rnd">
              <a:solidFill>
                <a:schemeClr val="accent2"/>
              </a:solidFill>
              <a:round/>
            </a:ln>
            <a:effectLst/>
          </c:spPr>
          <c:marker>
            <c:symbol val="none"/>
          </c:marker>
          <c:val>
            <c:numRef>
              <c:f>ARS!$O$2044:$O$2056</c:f>
              <c:numCache>
                <c:formatCode>#,##0.00</c:formatCode>
                <c:ptCount val="13"/>
                <c:pt idx="0">
                  <c:v>-10000000</c:v>
                </c:pt>
                <c:pt idx="1">
                  <c:v>-4445559.722222222</c:v>
                </c:pt>
                <c:pt idx="2">
                  <c:v>255396.52777777798</c:v>
                </c:pt>
                <c:pt idx="3">
                  <c:v>3875604.340277778</c:v>
                </c:pt>
                <c:pt idx="4">
                  <c:v>6815376.215277778</c:v>
                </c:pt>
              </c:numCache>
            </c:numRef>
          </c:val>
          <c:smooth val="0"/>
          <c:extLst>
            <c:ext xmlns:c16="http://schemas.microsoft.com/office/drawing/2014/chart" uri="{C3380CC4-5D6E-409C-BE32-E72D297353CC}">
              <c16:uniqueId val="{00000001-8C26-4F81-95A8-189070B47A8E}"/>
            </c:ext>
          </c:extLst>
        </c:ser>
        <c:dLbls>
          <c:showLegendKey val="0"/>
          <c:showVal val="0"/>
          <c:showCatName val="0"/>
          <c:showSerName val="0"/>
          <c:showPercent val="0"/>
          <c:showBubbleSize val="0"/>
        </c:dLbls>
        <c:marker val="1"/>
        <c:smooth val="0"/>
        <c:axId val="601500536"/>
        <c:axId val="601500928"/>
      </c:lineChart>
      <c:dateAx>
        <c:axId val="6015005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1500928"/>
        <c:crosses val="autoZero"/>
        <c:auto val="0"/>
        <c:lblOffset val="50"/>
        <c:baseTimeUnit val="months"/>
        <c:majorUnit val="6"/>
        <c:majorTimeUnit val="months"/>
      </c:dateAx>
      <c:valAx>
        <c:axId val="6015009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15005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7365639775533"/>
          <c:y val="6.3885806384757549E-2"/>
          <c:w val="0.50822172281524736"/>
          <c:h val="0.8594512259535334"/>
        </c:manualLayout>
      </c:layout>
      <c:pieChart>
        <c:varyColors val="1"/>
        <c:ser>
          <c:idx val="0"/>
          <c:order val="0"/>
          <c:tx>
            <c:v>Valor Residual</c:v>
          </c:tx>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1F6D-40FE-97AF-B201DFCEE293}"/>
              </c:ext>
            </c:extLst>
          </c:dPt>
          <c:dPt>
            <c:idx val="1"/>
            <c:bubble3D val="0"/>
            <c:spPr>
              <a:solidFill>
                <a:srgbClr val="009999"/>
              </a:solidFill>
              <a:ln w="19050">
                <a:solidFill>
                  <a:schemeClr val="lt1"/>
                </a:solidFill>
              </a:ln>
              <a:effectLst/>
            </c:spPr>
            <c:extLst>
              <c:ext xmlns:c16="http://schemas.microsoft.com/office/drawing/2014/chart" uri="{C3380CC4-5D6E-409C-BE32-E72D297353CC}">
                <c16:uniqueId val="{00000003-1F6D-40FE-97AF-B201DFCEE293}"/>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6D-40FE-97AF-B201DFCEE293}"/>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6D-40FE-97AF-B201DFCEE29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AR"/>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('Reporte - Oscuro'!$J$13,'Reporte - Oscuro'!$M$13)</c:f>
              <c:strCache>
                <c:ptCount val="2"/>
                <c:pt idx="0">
                  <c:v>ARS</c:v>
                </c:pt>
                <c:pt idx="1">
                  <c:v>USD</c:v>
                </c:pt>
              </c:strCache>
            </c:strRef>
          </c:cat>
          <c:val>
            <c:numRef>
              <c:f>('Reporte - Oscuro'!$J$14,'Reporte - Oscuro'!$J$20)</c:f>
              <c:numCache>
                <c:formatCode>#,##0</c:formatCode>
                <c:ptCount val="2"/>
                <c:pt idx="0">
                  <c:v>200000000.18928754</c:v>
                </c:pt>
                <c:pt idx="1">
                  <c:v>6336355362.1665993</c:v>
                </c:pt>
              </c:numCache>
            </c:numRef>
          </c:val>
          <c:extLst>
            <c:ext xmlns:c16="http://schemas.microsoft.com/office/drawing/2014/chart" uri="{C3380CC4-5D6E-409C-BE32-E72D297353CC}">
              <c16:uniqueId val="{00000004-1F6D-40FE-97AF-B201DFCEE293}"/>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5319155265165771"/>
          <c:y val="0.28438389433790662"/>
          <c:w val="0.15236401116675316"/>
          <c:h val="0.48234085643199281"/>
        </c:manualLayout>
      </c:layout>
      <c:overlay val="0"/>
      <c:spPr>
        <a:noFill/>
        <a:ln>
          <a:no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AR"/>
        </a:p>
      </c:txPr>
    </c:legend>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ARS!$H$2229:$H$2233</c:f>
              <c:numCache>
                <c:formatCode>dd/mm/yyyy;@</c:formatCode>
                <c:ptCount val="5"/>
                <c:pt idx="0">
                  <c:v>43524</c:v>
                </c:pt>
                <c:pt idx="1">
                  <c:v>43705</c:v>
                </c:pt>
                <c:pt idx="2">
                  <c:v>43889</c:v>
                </c:pt>
                <c:pt idx="3">
                  <c:v>44071</c:v>
                </c:pt>
                <c:pt idx="4">
                  <c:v>44256</c:v>
                </c:pt>
              </c:numCache>
            </c:numRef>
          </c:cat>
          <c:val>
            <c:numRef>
              <c:f>ARS!$M$2229:$M$2233</c:f>
              <c:numCache>
                <c:formatCode>#,##0.00</c:formatCode>
                <c:ptCount val="5"/>
                <c:pt idx="0">
                  <c:v>-10000000</c:v>
                </c:pt>
                <c:pt idx="1">
                  <c:v>5196145.833333333</c:v>
                </c:pt>
                <c:pt idx="2">
                  <c:v>4518489.583333333</c:v>
                </c:pt>
                <c:pt idx="3">
                  <c:v>3429748.263888889</c:v>
                </c:pt>
                <c:pt idx="4">
                  <c:v>2925564.236111111</c:v>
                </c:pt>
              </c:numCache>
            </c:numRef>
          </c:val>
          <c:extLst>
            <c:ext xmlns:c16="http://schemas.microsoft.com/office/drawing/2014/chart" uri="{C3380CC4-5D6E-409C-BE32-E72D297353CC}">
              <c16:uniqueId val="{00000000-2738-4ECC-BD5E-4B3A2BCFC9ED}"/>
            </c:ext>
          </c:extLst>
        </c:ser>
        <c:dLbls>
          <c:showLegendKey val="0"/>
          <c:showVal val="0"/>
          <c:showCatName val="0"/>
          <c:showSerName val="0"/>
          <c:showPercent val="0"/>
          <c:showBubbleSize val="0"/>
        </c:dLbls>
        <c:gapWidth val="0"/>
        <c:axId val="623826640"/>
        <c:axId val="623819584"/>
      </c:barChart>
      <c:lineChart>
        <c:grouping val="standard"/>
        <c:varyColors val="0"/>
        <c:ser>
          <c:idx val="1"/>
          <c:order val="1"/>
          <c:tx>
            <c:v>Acumulado</c:v>
          </c:tx>
          <c:spPr>
            <a:ln w="28575" cap="rnd">
              <a:solidFill>
                <a:schemeClr val="accent2"/>
              </a:solidFill>
              <a:round/>
            </a:ln>
            <a:effectLst/>
          </c:spPr>
          <c:marker>
            <c:symbol val="none"/>
          </c:marker>
          <c:val>
            <c:numRef>
              <c:f>ARS!$O$2078:$O$2082</c:f>
              <c:numCache>
                <c:formatCode>#,##0.00</c:formatCode>
                <c:ptCount val="5"/>
                <c:pt idx="0">
                  <c:v>-10000000</c:v>
                </c:pt>
                <c:pt idx="1">
                  <c:v>-4803854.166666667</c:v>
                </c:pt>
                <c:pt idx="2">
                  <c:v>-285364.58333333395</c:v>
                </c:pt>
                <c:pt idx="3">
                  <c:v>3144383.680555555</c:v>
                </c:pt>
                <c:pt idx="4">
                  <c:v>6069947.916666666</c:v>
                </c:pt>
              </c:numCache>
            </c:numRef>
          </c:val>
          <c:smooth val="0"/>
          <c:extLst>
            <c:ext xmlns:c16="http://schemas.microsoft.com/office/drawing/2014/chart" uri="{C3380CC4-5D6E-409C-BE32-E72D297353CC}">
              <c16:uniqueId val="{00000001-2738-4ECC-BD5E-4B3A2BCFC9ED}"/>
            </c:ext>
          </c:extLst>
        </c:ser>
        <c:dLbls>
          <c:showLegendKey val="0"/>
          <c:showVal val="0"/>
          <c:showCatName val="0"/>
          <c:showSerName val="0"/>
          <c:showPercent val="0"/>
          <c:showBubbleSize val="0"/>
        </c:dLbls>
        <c:marker val="1"/>
        <c:smooth val="0"/>
        <c:axId val="623826640"/>
        <c:axId val="623819584"/>
      </c:lineChart>
      <c:dateAx>
        <c:axId val="62382664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584"/>
        <c:crosses val="autoZero"/>
        <c:auto val="0"/>
        <c:lblOffset val="50"/>
        <c:baseTimeUnit val="months"/>
        <c:majorUnit val="6"/>
        <c:majorTimeUnit val="months"/>
      </c:dateAx>
      <c:valAx>
        <c:axId val="623819584"/>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664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ARS!$H$2489:$H$2501</c:f>
              <c:numCache>
                <c:formatCode>dd/mm/yyyy;@</c:formatCode>
                <c:ptCount val="13"/>
                <c:pt idx="0">
                  <c:v>43479</c:v>
                </c:pt>
                <c:pt idx="1">
                  <c:v>43570</c:v>
                </c:pt>
                <c:pt idx="2">
                  <c:v>43661</c:v>
                </c:pt>
                <c:pt idx="3">
                  <c:v>43752</c:v>
                </c:pt>
                <c:pt idx="4">
                  <c:v>43844</c:v>
                </c:pt>
                <c:pt idx="5">
                  <c:v>43935</c:v>
                </c:pt>
                <c:pt idx="6">
                  <c:v>44026</c:v>
                </c:pt>
                <c:pt idx="7">
                  <c:v>44118</c:v>
                </c:pt>
                <c:pt idx="8">
                  <c:v>44210</c:v>
                </c:pt>
                <c:pt idx="9">
                  <c:v>44300</c:v>
                </c:pt>
                <c:pt idx="10">
                  <c:v>44391</c:v>
                </c:pt>
                <c:pt idx="11">
                  <c:v>44483</c:v>
                </c:pt>
                <c:pt idx="12">
                  <c:v>44575</c:v>
                </c:pt>
              </c:numCache>
            </c:numRef>
          </c:cat>
          <c:val>
            <c:numRef>
              <c:f>ARS!$M$2489:$M$2501</c:f>
              <c:numCache>
                <c:formatCode>#,##0.00</c:formatCode>
                <c:ptCount val="13"/>
                <c:pt idx="0">
                  <c:v>-8000000</c:v>
                </c:pt>
                <c:pt idx="1">
                  <c:v>1799644.4444444443</c:v>
                </c:pt>
                <c:pt idx="2">
                  <c:v>1713887.1819444443</c:v>
                </c:pt>
                <c:pt idx="3">
                  <c:v>1708688.4277777774</c:v>
                </c:pt>
                <c:pt idx="4">
                  <c:v>1540487.8944444444</c:v>
                </c:pt>
                <c:pt idx="5">
                  <c:v>1212139.3444444444</c:v>
                </c:pt>
                <c:pt idx="6">
                  <c:v>1069518.5833333335</c:v>
                </c:pt>
                <c:pt idx="7">
                  <c:v>1015754.2666666666</c:v>
                </c:pt>
                <c:pt idx="8">
                  <c:v>957568.8666666667</c:v>
                </c:pt>
                <c:pt idx="9">
                  <c:v>894336</c:v>
                </c:pt>
                <c:pt idx="10">
                  <c:v>839306.78333333333</c:v>
                </c:pt>
                <c:pt idx="11">
                  <c:v>779812.66666666663</c:v>
                </c:pt>
                <c:pt idx="12">
                  <c:v>721906.33333333337</c:v>
                </c:pt>
              </c:numCache>
            </c:numRef>
          </c:val>
          <c:extLst>
            <c:ext xmlns:c16="http://schemas.microsoft.com/office/drawing/2014/chart" uri="{C3380CC4-5D6E-409C-BE32-E72D297353CC}">
              <c16:uniqueId val="{00000000-77AF-4C0A-AAFF-A56796D50BAE}"/>
            </c:ext>
          </c:extLst>
        </c:ser>
        <c:dLbls>
          <c:showLegendKey val="0"/>
          <c:showVal val="0"/>
          <c:showCatName val="0"/>
          <c:showSerName val="0"/>
          <c:showPercent val="0"/>
          <c:showBubbleSize val="0"/>
        </c:dLbls>
        <c:gapWidth val="0"/>
        <c:axId val="623825072"/>
        <c:axId val="623819976"/>
      </c:barChart>
      <c:lineChart>
        <c:grouping val="standard"/>
        <c:varyColors val="0"/>
        <c:ser>
          <c:idx val="1"/>
          <c:order val="1"/>
          <c:tx>
            <c:v>Acumulado</c:v>
          </c:tx>
          <c:spPr>
            <a:ln w="28575" cap="rnd">
              <a:solidFill>
                <a:schemeClr val="accent2"/>
              </a:solidFill>
              <a:round/>
            </a:ln>
            <a:effectLst/>
          </c:spPr>
          <c:marker>
            <c:symbol val="none"/>
          </c:marker>
          <c:val>
            <c:numRef>
              <c:f>ARS!$O$2345:$O$2357</c:f>
              <c:numCache>
                <c:formatCode>#,##0.00</c:formatCode>
                <c:ptCount val="13"/>
                <c:pt idx="0">
                  <c:v>-8000000</c:v>
                </c:pt>
                <c:pt idx="1">
                  <c:v>-6200355.555555556</c:v>
                </c:pt>
                <c:pt idx="2">
                  <c:v>-4486468.3736111112</c:v>
                </c:pt>
                <c:pt idx="3">
                  <c:v>-2777779.9458333338</c:v>
                </c:pt>
                <c:pt idx="4">
                  <c:v>-1237292.0513888893</c:v>
                </c:pt>
                <c:pt idx="5">
                  <c:v>-25152.706944444915</c:v>
                </c:pt>
                <c:pt idx="6">
                  <c:v>1044365.8763888886</c:v>
                </c:pt>
                <c:pt idx="7">
                  <c:v>2060120.1430555552</c:v>
                </c:pt>
                <c:pt idx="8">
                  <c:v>3017689.0097222216</c:v>
                </c:pt>
                <c:pt idx="9">
                  <c:v>3912025.0097222216</c:v>
                </c:pt>
                <c:pt idx="10">
                  <c:v>4751331.7930555549</c:v>
                </c:pt>
                <c:pt idx="11">
                  <c:v>5531144.4597222218</c:v>
                </c:pt>
                <c:pt idx="12">
                  <c:v>6253050.7930555549</c:v>
                </c:pt>
              </c:numCache>
            </c:numRef>
          </c:val>
          <c:smooth val="0"/>
          <c:extLst>
            <c:ext xmlns:c16="http://schemas.microsoft.com/office/drawing/2014/chart" uri="{C3380CC4-5D6E-409C-BE32-E72D297353CC}">
              <c16:uniqueId val="{00000001-77AF-4C0A-AAFF-A56796D50BAE}"/>
            </c:ext>
          </c:extLst>
        </c:ser>
        <c:dLbls>
          <c:showLegendKey val="0"/>
          <c:showVal val="0"/>
          <c:showCatName val="0"/>
          <c:showSerName val="0"/>
          <c:showPercent val="0"/>
          <c:showBubbleSize val="0"/>
        </c:dLbls>
        <c:marker val="1"/>
        <c:smooth val="0"/>
        <c:axId val="623825072"/>
        <c:axId val="623819976"/>
      </c:lineChart>
      <c:dateAx>
        <c:axId val="6238250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19976"/>
        <c:crosses val="autoZero"/>
        <c:auto val="0"/>
        <c:lblOffset val="50"/>
        <c:baseTimeUnit val="months"/>
        <c:majorUnit val="6"/>
        <c:majorTimeUnit val="months"/>
      </c:dateAx>
      <c:valAx>
        <c:axId val="623819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507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ARS!$H$2373:$H$2385</c:f>
              <c:numCache>
                <c:formatCode>dd/mm/yyyy;@</c:formatCode>
                <c:ptCount val="13"/>
                <c:pt idx="0">
                  <c:v>43395</c:v>
                </c:pt>
                <c:pt idx="1">
                  <c:v>43487</c:v>
                </c:pt>
                <c:pt idx="2">
                  <c:v>43577</c:v>
                </c:pt>
                <c:pt idx="3">
                  <c:v>43668</c:v>
                </c:pt>
                <c:pt idx="4">
                  <c:v>43760</c:v>
                </c:pt>
                <c:pt idx="5">
                  <c:v>43852</c:v>
                </c:pt>
                <c:pt idx="6">
                  <c:v>43943</c:v>
                </c:pt>
                <c:pt idx="7">
                  <c:v>44034</c:v>
                </c:pt>
                <c:pt idx="8">
                  <c:v>44126</c:v>
                </c:pt>
                <c:pt idx="9">
                  <c:v>44218</c:v>
                </c:pt>
                <c:pt idx="10">
                  <c:v>44308</c:v>
                </c:pt>
                <c:pt idx="11">
                  <c:v>44399</c:v>
                </c:pt>
                <c:pt idx="12">
                  <c:v>44491</c:v>
                </c:pt>
              </c:numCache>
            </c:numRef>
          </c:cat>
          <c:val>
            <c:numRef>
              <c:f>ARS!$M$2373:$M$2385</c:f>
              <c:numCache>
                <c:formatCode>#,##0.00</c:formatCode>
                <c:ptCount val="13"/>
                <c:pt idx="0">
                  <c:v>-3500000</c:v>
                </c:pt>
                <c:pt idx="1">
                  <c:v>493342.01388888888</c:v>
                </c:pt>
                <c:pt idx="2">
                  <c:v>483164.06249999994</c:v>
                </c:pt>
                <c:pt idx="3">
                  <c:v>501250.43402777775</c:v>
                </c:pt>
                <c:pt idx="4">
                  <c:v>1703216.6666666665</c:v>
                </c:pt>
                <c:pt idx="5">
                  <c:v>323879.61909722222</c:v>
                </c:pt>
                <c:pt idx="6">
                  <c:v>233725.80607638889</c:v>
                </c:pt>
                <c:pt idx="7">
                  <c:v>201284.36927083335</c:v>
                </c:pt>
                <c:pt idx="8">
                  <c:v>1370046.2854166667</c:v>
                </c:pt>
                <c:pt idx="9">
                  <c:v>101763.40416666666</c:v>
                </c:pt>
                <c:pt idx="10">
                  <c:v>99551.15625</c:v>
                </c:pt>
                <c:pt idx="11">
                  <c:v>100657.28020833334</c:v>
                </c:pt>
                <c:pt idx="12">
                  <c:v>1268663.4041666666</c:v>
                </c:pt>
              </c:numCache>
            </c:numRef>
          </c:val>
          <c:extLst>
            <c:ext xmlns:c16="http://schemas.microsoft.com/office/drawing/2014/chart" uri="{C3380CC4-5D6E-409C-BE32-E72D297353CC}">
              <c16:uniqueId val="{00000000-1FEA-416C-BDD5-5531B3012D5D}"/>
            </c:ext>
          </c:extLst>
        </c:ser>
        <c:dLbls>
          <c:showLegendKey val="0"/>
          <c:showVal val="0"/>
          <c:showCatName val="0"/>
          <c:showSerName val="0"/>
          <c:showPercent val="0"/>
          <c:showBubbleSize val="0"/>
        </c:dLbls>
        <c:gapWidth val="0"/>
        <c:axId val="623827424"/>
        <c:axId val="623821936"/>
      </c:barChart>
      <c:lineChart>
        <c:grouping val="standard"/>
        <c:varyColors val="0"/>
        <c:ser>
          <c:idx val="1"/>
          <c:order val="1"/>
          <c:tx>
            <c:v>Acumulado</c:v>
          </c:tx>
          <c:spPr>
            <a:ln w="28575" cap="rnd">
              <a:solidFill>
                <a:schemeClr val="accent2"/>
              </a:solidFill>
              <a:round/>
            </a:ln>
            <a:effectLst/>
          </c:spPr>
          <c:marker>
            <c:symbol val="none"/>
          </c:marker>
          <c:val>
            <c:numRef>
              <c:f>ARS!$O$2221:$O$2233</c:f>
              <c:numCache>
                <c:formatCode>#,##0.00</c:formatCode>
                <c:ptCount val="13"/>
                <c:pt idx="0">
                  <c:v>-3500000</c:v>
                </c:pt>
                <c:pt idx="1">
                  <c:v>-3006657.986111111</c:v>
                </c:pt>
                <c:pt idx="2">
                  <c:v>-2523493.923611111</c:v>
                </c:pt>
                <c:pt idx="3">
                  <c:v>-2022243.4895833333</c:v>
                </c:pt>
                <c:pt idx="4">
                  <c:v>-319026.82291666674</c:v>
                </c:pt>
                <c:pt idx="5">
                  <c:v>4852.7961805554805</c:v>
                </c:pt>
                <c:pt idx="6">
                  <c:v>238578.60225694437</c:v>
                </c:pt>
                <c:pt idx="7">
                  <c:v>439862.97152777773</c:v>
                </c:pt>
                <c:pt idx="8">
                  <c:v>1809909.2569444445</c:v>
                </c:pt>
                <c:pt idx="9">
                  <c:v>1911672.6611111111</c:v>
                </c:pt>
                <c:pt idx="10">
                  <c:v>2011223.8173611111</c:v>
                </c:pt>
                <c:pt idx="11">
                  <c:v>2111881.0975694442</c:v>
                </c:pt>
                <c:pt idx="12">
                  <c:v>3380544.501736111</c:v>
                </c:pt>
              </c:numCache>
            </c:numRef>
          </c:val>
          <c:smooth val="0"/>
          <c:extLst>
            <c:ext xmlns:c16="http://schemas.microsoft.com/office/drawing/2014/chart" uri="{C3380CC4-5D6E-409C-BE32-E72D297353CC}">
              <c16:uniqueId val="{00000001-1FEA-416C-BDD5-5531B3012D5D}"/>
            </c:ext>
          </c:extLst>
        </c:ser>
        <c:dLbls>
          <c:showLegendKey val="0"/>
          <c:showVal val="0"/>
          <c:showCatName val="0"/>
          <c:showSerName val="0"/>
          <c:showPercent val="0"/>
          <c:showBubbleSize val="0"/>
        </c:dLbls>
        <c:marker val="1"/>
        <c:smooth val="0"/>
        <c:axId val="623827424"/>
        <c:axId val="623821936"/>
      </c:lineChart>
      <c:dateAx>
        <c:axId val="62382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1936"/>
        <c:crosses val="autoZero"/>
        <c:auto val="0"/>
        <c:lblOffset val="50"/>
        <c:baseTimeUnit val="months"/>
        <c:majorUnit val="6"/>
        <c:majorTimeUnit val="months"/>
      </c:dateAx>
      <c:valAx>
        <c:axId val="6238219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4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ARS!$H$2415:$H$2421</c:f>
              <c:numCache>
                <c:formatCode>dd/mm/yyyy;@</c:formatCode>
                <c:ptCount val="7"/>
                <c:pt idx="0">
                  <c:v>43850</c:v>
                </c:pt>
                <c:pt idx="1">
                  <c:v>43941</c:v>
                </c:pt>
                <c:pt idx="2">
                  <c:v>44032</c:v>
                </c:pt>
                <c:pt idx="3">
                  <c:v>44124</c:v>
                </c:pt>
                <c:pt idx="4">
                  <c:v>44216</c:v>
                </c:pt>
                <c:pt idx="5">
                  <c:v>44306</c:v>
                </c:pt>
                <c:pt idx="6">
                  <c:v>44397</c:v>
                </c:pt>
              </c:numCache>
            </c:numRef>
          </c:cat>
          <c:val>
            <c:numRef>
              <c:f>ARS!$M$2415:$M$2421</c:f>
              <c:numCache>
                <c:formatCode>#,##0.00</c:formatCode>
                <c:ptCount val="7"/>
                <c:pt idx="0">
                  <c:v>-3000000</c:v>
                </c:pt>
                <c:pt idx="1">
                  <c:v>772411.35416666663</c:v>
                </c:pt>
                <c:pt idx="2">
                  <c:v>700134.51506250002</c:v>
                </c:pt>
                <c:pt idx="3">
                  <c:v>682117.50733333337</c:v>
                </c:pt>
                <c:pt idx="4">
                  <c:v>645838.93362499995</c:v>
                </c:pt>
                <c:pt idx="5">
                  <c:v>600538.83374999999</c:v>
                </c:pt>
                <c:pt idx="6">
                  <c:v>550798.40154166659</c:v>
                </c:pt>
              </c:numCache>
            </c:numRef>
          </c:val>
          <c:extLst>
            <c:ext xmlns:c16="http://schemas.microsoft.com/office/drawing/2014/chart" uri="{C3380CC4-5D6E-409C-BE32-E72D297353CC}">
              <c16:uniqueId val="{00000000-1EB1-4169-AA91-106CC6A7903D}"/>
            </c:ext>
          </c:extLst>
        </c:ser>
        <c:dLbls>
          <c:showLegendKey val="0"/>
          <c:showVal val="0"/>
          <c:showCatName val="0"/>
          <c:showSerName val="0"/>
          <c:showPercent val="0"/>
          <c:showBubbleSize val="0"/>
        </c:dLbls>
        <c:gapWidth val="0"/>
        <c:axId val="623818408"/>
        <c:axId val="623825464"/>
      </c:barChart>
      <c:lineChart>
        <c:grouping val="standard"/>
        <c:varyColors val="0"/>
        <c:ser>
          <c:idx val="1"/>
          <c:order val="1"/>
          <c:tx>
            <c:v>Acumulado</c:v>
          </c:tx>
          <c:spPr>
            <a:ln w="28575" cap="rnd">
              <a:solidFill>
                <a:schemeClr val="accent2"/>
              </a:solidFill>
              <a:round/>
            </a:ln>
            <a:effectLst/>
          </c:spPr>
          <c:marker>
            <c:symbol val="none"/>
          </c:marker>
          <c:val>
            <c:numRef>
              <c:f>ARS!$O$2271:$O$2277</c:f>
              <c:numCache>
                <c:formatCode>#,##0.00</c:formatCode>
                <c:ptCount val="7"/>
                <c:pt idx="0">
                  <c:v>-3000000</c:v>
                </c:pt>
                <c:pt idx="1">
                  <c:v>-2227588.6458333335</c:v>
                </c:pt>
                <c:pt idx="2">
                  <c:v>-1527454.1307708335</c:v>
                </c:pt>
                <c:pt idx="3">
                  <c:v>-845336.62343750009</c:v>
                </c:pt>
                <c:pt idx="4">
                  <c:v>-199497.68981250015</c:v>
                </c:pt>
                <c:pt idx="5">
                  <c:v>401041.14393749984</c:v>
                </c:pt>
                <c:pt idx="6">
                  <c:v>951839.54547916644</c:v>
                </c:pt>
              </c:numCache>
            </c:numRef>
          </c:val>
          <c:smooth val="0"/>
          <c:extLst>
            <c:ext xmlns:c16="http://schemas.microsoft.com/office/drawing/2014/chart" uri="{C3380CC4-5D6E-409C-BE32-E72D297353CC}">
              <c16:uniqueId val="{00000001-1EB1-4169-AA91-106CC6A7903D}"/>
            </c:ext>
          </c:extLst>
        </c:ser>
        <c:dLbls>
          <c:showLegendKey val="0"/>
          <c:showVal val="0"/>
          <c:showCatName val="0"/>
          <c:showSerName val="0"/>
          <c:showPercent val="0"/>
          <c:showBubbleSize val="0"/>
        </c:dLbls>
        <c:marker val="1"/>
        <c:smooth val="0"/>
        <c:axId val="623818408"/>
        <c:axId val="623825464"/>
      </c:lineChart>
      <c:dateAx>
        <c:axId val="62381840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5464"/>
        <c:crosses val="autoZero"/>
        <c:auto val="0"/>
        <c:lblOffset val="50"/>
        <c:baseTimeUnit val="months"/>
        <c:majorUnit val="3"/>
        <c:majorTimeUnit val="months"/>
      </c:dateAx>
      <c:valAx>
        <c:axId val="623825464"/>
        <c:scaling>
          <c:orientation val="minMax"/>
          <c:max val="1000000"/>
          <c:min val="-3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8408"/>
        <c:crosses val="autoZero"/>
        <c:crossBetween val="between"/>
        <c:majorUnit val="5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ARS!$H$2451:$H$2459</c:f>
              <c:numCache>
                <c:formatCode>dd/mm/yyyy;@</c:formatCode>
                <c:ptCount val="9"/>
                <c:pt idx="0">
                  <c:v>43825</c:v>
                </c:pt>
                <c:pt idx="1">
                  <c:v>43916</c:v>
                </c:pt>
                <c:pt idx="2">
                  <c:v>44008</c:v>
                </c:pt>
                <c:pt idx="3">
                  <c:v>44102</c:v>
                </c:pt>
                <c:pt idx="4">
                  <c:v>44193</c:v>
                </c:pt>
                <c:pt idx="5">
                  <c:v>44281</c:v>
                </c:pt>
                <c:pt idx="6">
                  <c:v>44375</c:v>
                </c:pt>
                <c:pt idx="7">
                  <c:v>44466</c:v>
                </c:pt>
                <c:pt idx="8">
                  <c:v>44556</c:v>
                </c:pt>
              </c:numCache>
            </c:numRef>
          </c:cat>
          <c:val>
            <c:numRef>
              <c:f>ARS!$M$2451:$M$2459</c:f>
              <c:numCache>
                <c:formatCode>#,##0.00</c:formatCode>
                <c:ptCount val="9"/>
                <c:pt idx="0">
                  <c:v>-4000000</c:v>
                </c:pt>
                <c:pt idx="1">
                  <c:v>828357.22222222225</c:v>
                </c:pt>
                <c:pt idx="2">
                  <c:v>737145.5</c:v>
                </c:pt>
                <c:pt idx="3">
                  <c:v>707766.4444444445</c:v>
                </c:pt>
                <c:pt idx="4">
                  <c:v>676183.73611111112</c:v>
                </c:pt>
                <c:pt idx="5">
                  <c:v>641391.33333333337</c:v>
                </c:pt>
                <c:pt idx="6">
                  <c:v>614385.27777777775</c:v>
                </c:pt>
                <c:pt idx="7">
                  <c:v>566287.33333333337</c:v>
                </c:pt>
                <c:pt idx="8">
                  <c:v>1323626.25</c:v>
                </c:pt>
              </c:numCache>
            </c:numRef>
          </c:val>
          <c:extLst>
            <c:ext xmlns:c16="http://schemas.microsoft.com/office/drawing/2014/chart" uri="{C3380CC4-5D6E-409C-BE32-E72D297353CC}">
              <c16:uniqueId val="{00000000-0356-4123-B7CE-569A61F2CFEC}"/>
            </c:ext>
          </c:extLst>
        </c:ser>
        <c:dLbls>
          <c:showLegendKey val="0"/>
          <c:showVal val="0"/>
          <c:showCatName val="0"/>
          <c:showSerName val="0"/>
          <c:showPercent val="0"/>
          <c:showBubbleSize val="0"/>
        </c:dLbls>
        <c:gapWidth val="0"/>
        <c:axId val="623820368"/>
        <c:axId val="623823504"/>
      </c:barChart>
      <c:lineChart>
        <c:grouping val="standard"/>
        <c:varyColors val="0"/>
        <c:ser>
          <c:idx val="1"/>
          <c:order val="1"/>
          <c:tx>
            <c:v>Acumulado</c:v>
          </c:tx>
          <c:spPr>
            <a:ln w="28575" cap="rnd">
              <a:solidFill>
                <a:schemeClr val="accent2"/>
              </a:solidFill>
              <a:round/>
            </a:ln>
            <a:effectLst/>
          </c:spPr>
          <c:marker>
            <c:symbol val="none"/>
          </c:marker>
          <c:val>
            <c:numRef>
              <c:f>ARS!$O$2307:$O$2315</c:f>
              <c:numCache>
                <c:formatCode>#,##0.00</c:formatCode>
                <c:ptCount val="9"/>
                <c:pt idx="0">
                  <c:v>-4000000</c:v>
                </c:pt>
                <c:pt idx="1">
                  <c:v>-3171642.777777778</c:v>
                </c:pt>
                <c:pt idx="2">
                  <c:v>-2434497.277777778</c:v>
                </c:pt>
                <c:pt idx="3">
                  <c:v>-1726730.8333333335</c:v>
                </c:pt>
                <c:pt idx="4">
                  <c:v>-1050547.0972222225</c:v>
                </c:pt>
                <c:pt idx="5">
                  <c:v>-409155.76388888911</c:v>
                </c:pt>
                <c:pt idx="6">
                  <c:v>205229.51388888864</c:v>
                </c:pt>
                <c:pt idx="7">
                  <c:v>771516.84722222202</c:v>
                </c:pt>
                <c:pt idx="8">
                  <c:v>2095143.097222222</c:v>
                </c:pt>
              </c:numCache>
            </c:numRef>
          </c:val>
          <c:smooth val="0"/>
          <c:extLst>
            <c:ext xmlns:c16="http://schemas.microsoft.com/office/drawing/2014/chart" uri="{C3380CC4-5D6E-409C-BE32-E72D297353CC}">
              <c16:uniqueId val="{00000001-0356-4123-B7CE-569A61F2CFEC}"/>
            </c:ext>
          </c:extLst>
        </c:ser>
        <c:dLbls>
          <c:showLegendKey val="0"/>
          <c:showVal val="0"/>
          <c:showCatName val="0"/>
          <c:showSerName val="0"/>
          <c:showPercent val="0"/>
          <c:showBubbleSize val="0"/>
        </c:dLbls>
        <c:marker val="1"/>
        <c:smooth val="0"/>
        <c:axId val="623820368"/>
        <c:axId val="623823504"/>
      </c:lineChart>
      <c:dateAx>
        <c:axId val="623820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504"/>
        <c:crosses val="autoZero"/>
        <c:auto val="0"/>
        <c:lblOffset val="50"/>
        <c:baseTimeUnit val="months"/>
        <c:majorUnit val="3"/>
        <c:majorTimeUnit val="months"/>
      </c:dateAx>
      <c:valAx>
        <c:axId val="623823504"/>
        <c:scaling>
          <c:orientation val="minMax"/>
          <c:max val="2000000"/>
          <c:min val="-4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0368"/>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ARS!$H$2092:$H$2098</c:f>
              <c:numCache>
                <c:formatCode>dd/mm/yyyy;@</c:formatCode>
                <c:ptCount val="7"/>
                <c:pt idx="0">
                  <c:v>42990</c:v>
                </c:pt>
                <c:pt idx="1">
                  <c:v>43171</c:v>
                </c:pt>
                <c:pt idx="2">
                  <c:v>43355</c:v>
                </c:pt>
                <c:pt idx="3">
                  <c:v>43536</c:v>
                </c:pt>
                <c:pt idx="4">
                  <c:v>43720</c:v>
                </c:pt>
                <c:pt idx="5">
                  <c:v>43902</c:v>
                </c:pt>
                <c:pt idx="6">
                  <c:v>44088</c:v>
                </c:pt>
              </c:numCache>
            </c:numRef>
          </c:cat>
          <c:val>
            <c:numRef>
              <c:f>ARS!$M$2092:$M$2098</c:f>
              <c:numCache>
                <c:formatCode>#,##0.00</c:formatCode>
                <c:ptCount val="7"/>
                <c:pt idx="0">
                  <c:v>-60000000</c:v>
                </c:pt>
                <c:pt idx="1">
                  <c:v>8559791.666666666</c:v>
                </c:pt>
                <c:pt idx="2">
                  <c:v>22426666.666666664</c:v>
                </c:pt>
                <c:pt idx="3">
                  <c:v>20205333.333333336</c:v>
                </c:pt>
                <c:pt idx="4">
                  <c:v>18256000</c:v>
                </c:pt>
                <c:pt idx="5">
                  <c:v>16125333.333333334</c:v>
                </c:pt>
                <c:pt idx="6">
                  <c:v>14108000</c:v>
                </c:pt>
              </c:numCache>
            </c:numRef>
          </c:val>
          <c:extLst>
            <c:ext xmlns:c16="http://schemas.microsoft.com/office/drawing/2014/chart" uri="{C3380CC4-5D6E-409C-BE32-E72D297353CC}">
              <c16:uniqueId val="{00000000-D656-438C-9B04-6382D43A5682}"/>
            </c:ext>
          </c:extLst>
        </c:ser>
        <c:dLbls>
          <c:showLegendKey val="0"/>
          <c:showVal val="0"/>
          <c:showCatName val="0"/>
          <c:showSerName val="0"/>
          <c:showPercent val="0"/>
          <c:showBubbleSize val="0"/>
        </c:dLbls>
        <c:gapWidth val="0"/>
        <c:axId val="623822328"/>
        <c:axId val="623823896"/>
      </c:barChart>
      <c:lineChart>
        <c:grouping val="standard"/>
        <c:varyColors val="0"/>
        <c:ser>
          <c:idx val="1"/>
          <c:order val="1"/>
          <c:tx>
            <c:v>Acumulado</c:v>
          </c:tx>
          <c:spPr>
            <a:ln w="28575" cap="rnd">
              <a:solidFill>
                <a:schemeClr val="accent2"/>
              </a:solidFill>
              <a:round/>
            </a:ln>
            <a:effectLst/>
          </c:spPr>
          <c:marker>
            <c:symbol val="none"/>
          </c:marker>
          <c:val>
            <c:numRef>
              <c:f>ARS!$O$1939:$O$1945</c:f>
              <c:numCache>
                <c:formatCode>#,##0.00</c:formatCode>
                <c:ptCount val="7"/>
                <c:pt idx="0">
                  <c:v>-60000000</c:v>
                </c:pt>
                <c:pt idx="1">
                  <c:v>-51440208.333333336</c:v>
                </c:pt>
                <c:pt idx="2">
                  <c:v>-29013541.666666672</c:v>
                </c:pt>
                <c:pt idx="3">
                  <c:v>-8808208.3333333358</c:v>
                </c:pt>
                <c:pt idx="4">
                  <c:v>9447791.6666666642</c:v>
                </c:pt>
                <c:pt idx="5">
                  <c:v>25573125</c:v>
                </c:pt>
                <c:pt idx="6">
                  <c:v>39681125</c:v>
                </c:pt>
              </c:numCache>
            </c:numRef>
          </c:val>
          <c:smooth val="0"/>
          <c:extLst>
            <c:ext xmlns:c16="http://schemas.microsoft.com/office/drawing/2014/chart" uri="{C3380CC4-5D6E-409C-BE32-E72D297353CC}">
              <c16:uniqueId val="{00000001-D656-438C-9B04-6382D43A5682}"/>
            </c:ext>
          </c:extLst>
        </c:ser>
        <c:dLbls>
          <c:showLegendKey val="0"/>
          <c:showVal val="0"/>
          <c:showCatName val="0"/>
          <c:showSerName val="0"/>
          <c:showPercent val="0"/>
          <c:showBubbleSize val="0"/>
        </c:dLbls>
        <c:marker val="1"/>
        <c:smooth val="0"/>
        <c:axId val="623822328"/>
        <c:axId val="623823896"/>
      </c:lineChart>
      <c:dateAx>
        <c:axId val="623822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3896"/>
        <c:crosses val="autoZero"/>
        <c:auto val="0"/>
        <c:lblOffset val="50"/>
        <c:baseTimeUnit val="months"/>
        <c:majorUnit val="6"/>
        <c:majorTimeUnit val="months"/>
      </c:dateAx>
      <c:valAx>
        <c:axId val="623823896"/>
        <c:scaling>
          <c:orientation val="minMax"/>
          <c:max val="40000000"/>
          <c:min val="-60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2328"/>
        <c:crosses val="autoZero"/>
        <c:crossBetween val="between"/>
        <c:majorUnit val="20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4F36-4FB7-89DE-4320046E437E}"/>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4F36-4FB7-89DE-4320046E437E}"/>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ARS!$H$1425:$H$1429</c:f>
              <c:numCache>
                <c:formatCode>dd/mm/yyyy;@</c:formatCode>
                <c:ptCount val="5"/>
                <c:pt idx="0">
                  <c:v>43209</c:v>
                </c:pt>
                <c:pt idx="1">
                  <c:v>43392</c:v>
                </c:pt>
                <c:pt idx="2">
                  <c:v>43574</c:v>
                </c:pt>
                <c:pt idx="3">
                  <c:v>43759</c:v>
                </c:pt>
                <c:pt idx="4">
                  <c:v>43941</c:v>
                </c:pt>
              </c:numCache>
            </c:numRef>
          </c:cat>
          <c:val>
            <c:numRef>
              <c:f>ARS!$M$1425:$M$1429</c:f>
              <c:numCache>
                <c:formatCode>#,##0.00</c:formatCode>
                <c:ptCount val="5"/>
                <c:pt idx="0">
                  <c:v>-1000000</c:v>
                </c:pt>
                <c:pt idx="1">
                  <c:v>465247.39583333331</c:v>
                </c:pt>
                <c:pt idx="2">
                  <c:v>457830.72916666669</c:v>
                </c:pt>
                <c:pt idx="3">
                  <c:v>401597.22222222225</c:v>
                </c:pt>
                <c:pt idx="4">
                  <c:v>308217.88194444444</c:v>
                </c:pt>
              </c:numCache>
            </c:numRef>
          </c:val>
          <c:extLst>
            <c:ext xmlns:c16="http://schemas.microsoft.com/office/drawing/2014/chart" uri="{C3380CC4-5D6E-409C-BE32-E72D297353CC}">
              <c16:uniqueId val="{00000000-F48F-4577-8393-057966F634B8}"/>
            </c:ext>
          </c:extLst>
        </c:ser>
        <c:dLbls>
          <c:showLegendKey val="0"/>
          <c:showVal val="0"/>
          <c:showCatName val="0"/>
          <c:showSerName val="0"/>
          <c:showPercent val="0"/>
          <c:showBubbleSize val="0"/>
        </c:dLbls>
        <c:gapWidth val="0"/>
        <c:axId val="623824680"/>
        <c:axId val="623820760"/>
      </c:barChart>
      <c:lineChart>
        <c:grouping val="standard"/>
        <c:varyColors val="0"/>
        <c:ser>
          <c:idx val="1"/>
          <c:order val="1"/>
          <c:tx>
            <c:v>Acumulado</c:v>
          </c:tx>
          <c:spPr>
            <a:ln w="28575" cap="rnd">
              <a:solidFill>
                <a:schemeClr val="accent2"/>
              </a:solidFill>
              <a:round/>
            </a:ln>
            <a:effectLst/>
          </c:spPr>
          <c:marker>
            <c:symbol val="none"/>
          </c:marker>
          <c:val>
            <c:numRef>
              <c:f>ARS!$O$1313:$O$1317</c:f>
              <c:numCache>
                <c:formatCode>#,##0.00</c:formatCode>
                <c:ptCount val="5"/>
                <c:pt idx="0">
                  <c:v>-1000000</c:v>
                </c:pt>
                <c:pt idx="1">
                  <c:v>-534752.60416666674</c:v>
                </c:pt>
                <c:pt idx="2">
                  <c:v>-76921.875000000058</c:v>
                </c:pt>
                <c:pt idx="3">
                  <c:v>324675.34722222219</c:v>
                </c:pt>
                <c:pt idx="4">
                  <c:v>632893.22916666663</c:v>
                </c:pt>
              </c:numCache>
            </c:numRef>
          </c:val>
          <c:smooth val="0"/>
          <c:extLst>
            <c:ext xmlns:c16="http://schemas.microsoft.com/office/drawing/2014/chart" uri="{C3380CC4-5D6E-409C-BE32-E72D297353CC}">
              <c16:uniqueId val="{00000001-F48F-4577-8393-057966F634B8}"/>
            </c:ext>
          </c:extLst>
        </c:ser>
        <c:dLbls>
          <c:showLegendKey val="0"/>
          <c:showVal val="0"/>
          <c:showCatName val="0"/>
          <c:showSerName val="0"/>
          <c:showPercent val="0"/>
          <c:showBubbleSize val="0"/>
        </c:dLbls>
        <c:marker val="1"/>
        <c:smooth val="0"/>
        <c:axId val="623824680"/>
        <c:axId val="623820760"/>
      </c:lineChart>
      <c:dateAx>
        <c:axId val="6238246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0760"/>
        <c:crosses val="autoZero"/>
        <c:auto val="0"/>
        <c:lblOffset val="50"/>
        <c:baseTimeUnit val="months"/>
        <c:majorUnit val="6"/>
        <c:majorTimeUnit val="months"/>
      </c:dateAx>
      <c:valAx>
        <c:axId val="623820760"/>
        <c:scaling>
          <c:orientation val="minMax"/>
          <c:min val="-1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468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ARS!$H$1458:$H$1466</c:f>
              <c:numCache>
                <c:formatCode>dd/mm/yyyy;@</c:formatCode>
                <c:ptCount val="9"/>
                <c:pt idx="0">
                  <c:v>43249</c:v>
                </c:pt>
                <c:pt idx="1">
                  <c:v>43341</c:v>
                </c:pt>
                <c:pt idx="2">
                  <c:v>43433</c:v>
                </c:pt>
                <c:pt idx="3">
                  <c:v>43524</c:v>
                </c:pt>
                <c:pt idx="4">
                  <c:v>43614</c:v>
                </c:pt>
                <c:pt idx="5">
                  <c:v>43706</c:v>
                </c:pt>
                <c:pt idx="6">
                  <c:v>43798</c:v>
                </c:pt>
                <c:pt idx="7">
                  <c:v>43892</c:v>
                </c:pt>
                <c:pt idx="8">
                  <c:v>43980</c:v>
                </c:pt>
              </c:numCache>
            </c:numRef>
          </c:cat>
          <c:val>
            <c:numRef>
              <c:f>ARS!$M$1458:$M$1466</c:f>
              <c:numCache>
                <c:formatCode>#,##0.00</c:formatCode>
                <c:ptCount val="9"/>
                <c:pt idx="0">
                  <c:v>-23100000</c:v>
                </c:pt>
                <c:pt idx="1">
                  <c:v>5358408.9041095879</c:v>
                </c:pt>
                <c:pt idx="2">
                  <c:v>5606773.4589041099</c:v>
                </c:pt>
                <c:pt idx="3">
                  <c:v>5187571.7465753425</c:v>
                </c:pt>
                <c:pt idx="4">
                  <c:v>4828775.1498287674</c:v>
                </c:pt>
                <c:pt idx="5">
                  <c:v>4795267.2945205476</c:v>
                </c:pt>
                <c:pt idx="6">
                  <c:v>4224847.6027397262</c:v>
                </c:pt>
                <c:pt idx="7">
                  <c:v>3617187.0719178081</c:v>
                </c:pt>
                <c:pt idx="8">
                  <c:v>3164225.3424657532</c:v>
                </c:pt>
              </c:numCache>
            </c:numRef>
          </c:val>
          <c:extLst>
            <c:ext xmlns:c16="http://schemas.microsoft.com/office/drawing/2014/chart" uri="{C3380CC4-5D6E-409C-BE32-E72D297353CC}">
              <c16:uniqueId val="{00000000-DB18-411A-9271-A700B038A311}"/>
            </c:ext>
          </c:extLst>
        </c:ser>
        <c:dLbls>
          <c:showLegendKey val="0"/>
          <c:showVal val="0"/>
          <c:showCatName val="0"/>
          <c:showSerName val="0"/>
          <c:showPercent val="0"/>
          <c:showBubbleSize val="0"/>
        </c:dLbls>
        <c:gapWidth val="0"/>
        <c:axId val="623827816"/>
        <c:axId val="623828208"/>
      </c:barChart>
      <c:lineChart>
        <c:grouping val="standard"/>
        <c:varyColors val="0"/>
        <c:ser>
          <c:idx val="1"/>
          <c:order val="1"/>
          <c:tx>
            <c:v>Acumulado</c:v>
          </c:tx>
          <c:spPr>
            <a:ln w="28575" cap="rnd">
              <a:solidFill>
                <a:schemeClr val="accent2"/>
              </a:solidFill>
              <a:round/>
            </a:ln>
            <a:effectLst/>
          </c:spPr>
          <c:marker>
            <c:symbol val="none"/>
          </c:marker>
          <c:val>
            <c:numRef>
              <c:f>ARS!$O$1347:$O$1353</c:f>
              <c:numCache>
                <c:formatCode>#,##0.00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DB18-411A-9271-A700B038A311}"/>
            </c:ext>
          </c:extLst>
        </c:ser>
        <c:dLbls>
          <c:showLegendKey val="0"/>
          <c:showVal val="0"/>
          <c:showCatName val="0"/>
          <c:showSerName val="0"/>
          <c:showPercent val="0"/>
          <c:showBubbleSize val="0"/>
        </c:dLbls>
        <c:marker val="1"/>
        <c:smooth val="0"/>
        <c:axId val="623827816"/>
        <c:axId val="623828208"/>
      </c:lineChart>
      <c:dateAx>
        <c:axId val="6238278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208"/>
        <c:crosses val="autoZero"/>
        <c:auto val="0"/>
        <c:lblOffset val="50"/>
        <c:baseTimeUnit val="months"/>
        <c:majorUnit val="6"/>
        <c:majorTimeUnit val="months"/>
      </c:dateAx>
      <c:valAx>
        <c:axId val="623828208"/>
        <c:scaling>
          <c:orientation val="minMax"/>
          <c:max val="15000000"/>
          <c:min val="-25000000"/>
        </c:scaling>
        <c:delete val="0"/>
        <c:axPos val="l"/>
        <c:majorGridlines>
          <c:spPr>
            <a:ln w="9525" cap="flat" cmpd="sng" algn="ctr">
              <a:solidFill>
                <a:schemeClr val="bg2">
                  <a:lumMod val="90000"/>
                </a:schemeClr>
              </a:solidFill>
              <a:prstDash val="sysDash"/>
              <a:round/>
            </a:ln>
            <a:effectLst/>
          </c:spPr>
        </c:majorGridlines>
        <c:numFmt formatCode="#,##0.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8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ARS!$H$1898:$H$1904</c:f>
              <c:numCache>
                <c:formatCode>dd/mm/yyyy;@</c:formatCode>
                <c:ptCount val="7"/>
                <c:pt idx="0">
                  <c:v>44004</c:v>
                </c:pt>
                <c:pt idx="1">
                  <c:v>44218</c:v>
                </c:pt>
                <c:pt idx="2">
                  <c:v>44249</c:v>
                </c:pt>
                <c:pt idx="3">
                  <c:v>44277</c:v>
                </c:pt>
                <c:pt idx="4">
                  <c:v>44308</c:v>
                </c:pt>
                <c:pt idx="5">
                  <c:v>44340</c:v>
                </c:pt>
                <c:pt idx="6">
                  <c:v>44369</c:v>
                </c:pt>
              </c:numCache>
            </c:numRef>
          </c:cat>
          <c:val>
            <c:numRef>
              <c:f>ARS!$M$1898:$M$1904</c:f>
              <c:numCache>
                <c:formatCode>#,##0.00</c:formatCode>
                <c:ptCount val="7"/>
                <c:pt idx="0">
                  <c:v>-100000000</c:v>
                </c:pt>
                <c:pt idx="1">
                  <c:v>38413673.611111112</c:v>
                </c:pt>
                <c:pt idx="2">
                  <c:v>19469045.138888888</c:v>
                </c:pt>
                <c:pt idx="3">
                  <c:v>18696472.222222224</c:v>
                </c:pt>
                <c:pt idx="4">
                  <c:v>18353475.694444444</c:v>
                </c:pt>
                <c:pt idx="5">
                  <c:v>17827481.481481481</c:v>
                </c:pt>
                <c:pt idx="6">
                  <c:v>17192241.319444444</c:v>
                </c:pt>
              </c:numCache>
            </c:numRef>
          </c:val>
          <c:extLst>
            <c:ext xmlns:c16="http://schemas.microsoft.com/office/drawing/2014/chart" uri="{C3380CC4-5D6E-409C-BE32-E72D297353CC}">
              <c16:uniqueId val="{00000000-A4F4-42E4-9F5D-7CA2D7BAA5C8}"/>
            </c:ext>
          </c:extLst>
        </c:ser>
        <c:dLbls>
          <c:showLegendKey val="0"/>
          <c:showVal val="0"/>
          <c:showCatName val="0"/>
          <c:showSerName val="0"/>
          <c:showPercent val="0"/>
          <c:showBubbleSize val="0"/>
        </c:dLbls>
        <c:gapWidth val="50"/>
        <c:axId val="623817624"/>
        <c:axId val="623828600"/>
      </c:barChart>
      <c:lineChart>
        <c:grouping val="standard"/>
        <c:varyColors val="0"/>
        <c:ser>
          <c:idx val="1"/>
          <c:order val="1"/>
          <c:tx>
            <c:v>Acumulado</c:v>
          </c:tx>
          <c:spPr>
            <a:ln w="28575" cap="rnd">
              <a:solidFill>
                <a:schemeClr val="accent2"/>
              </a:solidFill>
              <a:round/>
            </a:ln>
            <a:effectLst/>
          </c:spPr>
          <c:marker>
            <c:symbol val="none"/>
          </c:marker>
          <c:val>
            <c:numRef>
              <c:f>ARS!$O$1753:$O$1759</c:f>
              <c:numCache>
                <c:formatCode>#,##0.00</c:formatCode>
                <c:ptCount val="7"/>
                <c:pt idx="0">
                  <c:v>-100000000</c:v>
                </c:pt>
                <c:pt idx="1">
                  <c:v>-61586326.388888888</c:v>
                </c:pt>
                <c:pt idx="2">
                  <c:v>-42117281.25</c:v>
                </c:pt>
                <c:pt idx="3">
                  <c:v>-23420809.027777776</c:v>
                </c:pt>
                <c:pt idx="4">
                  <c:v>-5067333.3333333321</c:v>
                </c:pt>
                <c:pt idx="5">
                  <c:v>12760148.148148149</c:v>
                </c:pt>
                <c:pt idx="6">
                  <c:v>29952389.467592593</c:v>
                </c:pt>
              </c:numCache>
            </c:numRef>
          </c:val>
          <c:smooth val="0"/>
          <c:extLst>
            <c:ext xmlns:c16="http://schemas.microsoft.com/office/drawing/2014/chart" uri="{C3380CC4-5D6E-409C-BE32-E72D297353CC}">
              <c16:uniqueId val="{00000001-A4F4-42E4-9F5D-7CA2D7BAA5C8}"/>
            </c:ext>
          </c:extLst>
        </c:ser>
        <c:dLbls>
          <c:showLegendKey val="0"/>
          <c:showVal val="0"/>
          <c:showCatName val="0"/>
          <c:showSerName val="0"/>
          <c:showPercent val="0"/>
          <c:showBubbleSize val="0"/>
        </c:dLbls>
        <c:marker val="1"/>
        <c:smooth val="0"/>
        <c:axId val="623817624"/>
        <c:axId val="623828600"/>
      </c:lineChart>
      <c:dateAx>
        <c:axId val="6238176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8600"/>
        <c:crosses val="autoZero"/>
        <c:auto val="0"/>
        <c:lblOffset val="50"/>
        <c:baseTimeUnit val="months"/>
      </c:dateAx>
      <c:valAx>
        <c:axId val="6238286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62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Oscuro'!$C$40:$C$43</c:f>
              <c:strCache>
                <c:ptCount val="4"/>
                <c:pt idx="0">
                  <c:v>ON Pyme CNV Garantizada</c:v>
                </c:pt>
                <c:pt idx="1">
                  <c:v>ON Pyme</c:v>
                </c:pt>
                <c:pt idx="2">
                  <c:v>Régimen General</c:v>
                </c:pt>
                <c:pt idx="3">
                  <c:v>VCP</c:v>
                </c:pt>
              </c:strCache>
            </c:strRef>
          </c:cat>
          <c:val>
            <c:numRef>
              <c:f>'Reporte - Oscuro'!$K$40:$K$43</c:f>
              <c:numCache>
                <c:formatCode>0.00%</c:formatCode>
                <c:ptCount val="4"/>
                <c:pt idx="0">
                  <c:v>0.88888888888888884</c:v>
                </c:pt>
                <c:pt idx="1">
                  <c:v>0.16666666666666666</c:v>
                </c:pt>
                <c:pt idx="2">
                  <c:v>-5.5555555555555552E-2</c:v>
                </c:pt>
                <c:pt idx="3">
                  <c:v>0</c:v>
                </c:pt>
              </c:numCache>
            </c:numRef>
          </c:val>
          <c:extLst>
            <c:ext xmlns:c16="http://schemas.microsoft.com/office/drawing/2014/chart" uri="{C3380CC4-5D6E-409C-BE32-E72D297353CC}">
              <c16:uniqueId val="{00000000-4D1E-42B4-87B1-8D488AC0A33A}"/>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Oscuro'!$C$40:$C$43</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4D1E-42B4-87B1-8D488AC0A33A}"/>
            </c:ext>
          </c:extLst>
        </c:ser>
        <c:dLbls>
          <c:dLblPos val="outEnd"/>
          <c:showLegendKey val="0"/>
          <c:showVal val="1"/>
          <c:showCatName val="0"/>
          <c:showSerName val="0"/>
          <c:showPercent val="0"/>
          <c:showBubbleSize val="0"/>
        </c:dLbls>
        <c:gapWidth val="0"/>
        <c:axId val="605824608"/>
        <c:axId val="605826176"/>
      </c:barChart>
      <c:catAx>
        <c:axId val="605824608"/>
        <c:scaling>
          <c:orientation val="maxMin"/>
        </c:scaling>
        <c:delete val="1"/>
        <c:axPos val="l"/>
        <c:numFmt formatCode="General" sourceLinked="1"/>
        <c:majorTickMark val="none"/>
        <c:minorTickMark val="none"/>
        <c:tickLblPos val="nextTo"/>
        <c:crossAx val="605826176"/>
        <c:crosses val="autoZero"/>
        <c:auto val="1"/>
        <c:lblAlgn val="ctr"/>
        <c:lblOffset val="100"/>
        <c:noMultiLvlLbl val="0"/>
      </c:catAx>
      <c:valAx>
        <c:axId val="605826176"/>
        <c:scaling>
          <c:orientation val="minMax"/>
        </c:scaling>
        <c:delete val="1"/>
        <c:axPos val="t"/>
        <c:numFmt formatCode="0.00%" sourceLinked="1"/>
        <c:majorTickMark val="none"/>
        <c:minorTickMark val="none"/>
        <c:tickLblPos val="nextTo"/>
        <c:crossAx val="6058246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ARS!$M$1390:$M$1397</c:f>
              <c:numCache>
                <c:formatCode>#,##0.00</c:formatCode>
                <c:ptCount val="8"/>
                <c:pt idx="0">
                  <c:v>-40000000</c:v>
                </c:pt>
                <c:pt idx="1">
                  <c:v>13224027.397260275</c:v>
                </c:pt>
                <c:pt idx="2">
                  <c:v>8718845.3698630147</c:v>
                </c:pt>
                <c:pt idx="3">
                  <c:v>8389157.6986301374</c:v>
                </c:pt>
                <c:pt idx="4">
                  <c:v>7775114.4109589048</c:v>
                </c:pt>
                <c:pt idx="5">
                  <c:v>7250086.7945205485</c:v>
                </c:pt>
                <c:pt idx="6">
                  <c:v>6725059.1780821923</c:v>
                </c:pt>
                <c:pt idx="7">
                  <c:v>7000031.5616438352</c:v>
                </c:pt>
              </c:numCache>
            </c:numRef>
          </c:val>
          <c:extLst>
            <c:ext xmlns:c16="http://schemas.microsoft.com/office/drawing/2014/chart" uri="{C3380CC4-5D6E-409C-BE32-E72D297353CC}">
              <c16:uniqueId val="{00000000-1131-4DFC-8B44-8BD790C6C24E}"/>
            </c:ext>
          </c:extLst>
        </c:ser>
        <c:dLbls>
          <c:showLegendKey val="0"/>
          <c:showVal val="0"/>
          <c:showCatName val="0"/>
          <c:showSerName val="0"/>
          <c:showPercent val="0"/>
          <c:showBubbleSize val="0"/>
        </c:dLbls>
        <c:gapWidth val="0"/>
        <c:axId val="623817232"/>
        <c:axId val="623832128"/>
      </c:barChart>
      <c:lineChart>
        <c:grouping val="standard"/>
        <c:varyColors val="0"/>
        <c:ser>
          <c:idx val="1"/>
          <c:order val="1"/>
          <c:tx>
            <c:v>Acumulado</c:v>
          </c:tx>
          <c:spPr>
            <a:ln w="28575" cap="rnd">
              <a:solidFill>
                <a:schemeClr val="accent2"/>
              </a:solidFill>
              <a:round/>
            </a:ln>
            <a:effectLst/>
          </c:spPr>
          <c:marker>
            <c:symbol val="none"/>
          </c:marker>
          <c:cat>
            <c:numRef>
              <c:f>ARS!$H$1390:$H$1397</c:f>
              <c:numCache>
                <c:formatCode>dd/mm/yyyy;@</c:formatCode>
                <c:ptCount val="8"/>
                <c:pt idx="0">
                  <c:v>44372</c:v>
                </c:pt>
                <c:pt idx="1">
                  <c:v>44557</c:v>
                </c:pt>
                <c:pt idx="2">
                  <c:v>44645</c:v>
                </c:pt>
                <c:pt idx="3">
                  <c:v>44739</c:v>
                </c:pt>
                <c:pt idx="4">
                  <c:v>44830</c:v>
                </c:pt>
                <c:pt idx="5">
                  <c:v>44921</c:v>
                </c:pt>
                <c:pt idx="6">
                  <c:v>45012</c:v>
                </c:pt>
                <c:pt idx="7">
                  <c:v>45103</c:v>
                </c:pt>
              </c:numCache>
            </c:numRef>
          </c:cat>
          <c:val>
            <c:numRef>
              <c:f>ARS!$O$1279:$O$1286</c:f>
              <c:numCache>
                <c:formatCode>#,##0.00</c:formatCode>
                <c:ptCount val="8"/>
                <c:pt idx="0">
                  <c:v>-40000000</c:v>
                </c:pt>
                <c:pt idx="1">
                  <c:v>-26775972.602739725</c:v>
                </c:pt>
                <c:pt idx="2">
                  <c:v>-18057127.232876711</c:v>
                </c:pt>
                <c:pt idx="3">
                  <c:v>-9667969.5342465732</c:v>
                </c:pt>
                <c:pt idx="4">
                  <c:v>-1892855.1232876685</c:v>
                </c:pt>
                <c:pt idx="5">
                  <c:v>5357231.6712328801</c:v>
                </c:pt>
                <c:pt idx="6">
                  <c:v>12082290.849315073</c:v>
                </c:pt>
                <c:pt idx="7">
                  <c:v>19082322.410958908</c:v>
                </c:pt>
              </c:numCache>
            </c:numRef>
          </c:val>
          <c:smooth val="0"/>
          <c:extLst>
            <c:ext xmlns:c16="http://schemas.microsoft.com/office/drawing/2014/chart" uri="{C3380CC4-5D6E-409C-BE32-E72D297353CC}">
              <c16:uniqueId val="{00000001-1131-4DFC-8B44-8BD790C6C24E}"/>
            </c:ext>
          </c:extLst>
        </c:ser>
        <c:dLbls>
          <c:showLegendKey val="0"/>
          <c:showVal val="0"/>
          <c:showCatName val="0"/>
          <c:showSerName val="0"/>
          <c:showPercent val="0"/>
          <c:showBubbleSize val="0"/>
        </c:dLbls>
        <c:marker val="1"/>
        <c:smooth val="0"/>
        <c:axId val="623817232"/>
        <c:axId val="623832128"/>
      </c:lineChart>
      <c:dateAx>
        <c:axId val="6238172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2128"/>
        <c:crosses val="autoZero"/>
        <c:auto val="0"/>
        <c:lblOffset val="50"/>
        <c:baseTimeUnit val="months"/>
        <c:majorUnit val="6"/>
        <c:majorTimeUnit val="months"/>
      </c:dateAx>
      <c:valAx>
        <c:axId val="62383212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172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ARS!$H$121:$H$125</c:f>
              <c:numCache>
                <c:formatCode>dd/mm/yyyy;@</c:formatCode>
                <c:ptCount val="5"/>
                <c:pt idx="0">
                  <c:v>44469</c:v>
                </c:pt>
                <c:pt idx="1">
                  <c:v>44650</c:v>
                </c:pt>
                <c:pt idx="2">
                  <c:v>44834</c:v>
                </c:pt>
                <c:pt idx="3">
                  <c:v>45015</c:v>
                </c:pt>
                <c:pt idx="4">
                  <c:v>45199</c:v>
                </c:pt>
              </c:numCache>
            </c:numRef>
          </c:cat>
          <c:val>
            <c:numRef>
              <c:f>ARS!$M$121:$M$125</c:f>
              <c:numCache>
                <c:formatCode>#,##0.00</c:formatCode>
                <c:ptCount val="5"/>
                <c:pt idx="0">
                  <c:v>-10000000</c:v>
                </c:pt>
                <c:pt idx="1">
                  <c:v>4677656.25</c:v>
                </c:pt>
                <c:pt idx="2">
                  <c:v>4841927.083333334</c:v>
                </c:pt>
                <c:pt idx="3">
                  <c:v>4415269.097222222</c:v>
                </c:pt>
                <c:pt idx="4">
                  <c:v>3754618.055555556</c:v>
                </c:pt>
              </c:numCache>
            </c:numRef>
          </c:val>
          <c:extLst>
            <c:ext xmlns:c16="http://schemas.microsoft.com/office/drawing/2014/chart" uri="{C3380CC4-5D6E-409C-BE32-E72D297353CC}">
              <c16:uniqueId val="{00000000-10B9-468F-A6B7-2045C7DDA9AA}"/>
            </c:ext>
          </c:extLst>
        </c:ser>
        <c:dLbls>
          <c:showLegendKey val="0"/>
          <c:showVal val="0"/>
          <c:showCatName val="0"/>
          <c:showSerName val="0"/>
          <c:showPercent val="0"/>
          <c:showBubbleSize val="0"/>
        </c:dLbls>
        <c:gapWidth val="0"/>
        <c:axId val="623832520"/>
        <c:axId val="623831736"/>
      </c:barChart>
      <c:lineChart>
        <c:grouping val="standard"/>
        <c:varyColors val="0"/>
        <c:ser>
          <c:idx val="1"/>
          <c:order val="1"/>
          <c:tx>
            <c:v>Acumulado</c:v>
          </c:tx>
          <c:spPr>
            <a:ln w="28575" cap="rnd">
              <a:solidFill>
                <a:schemeClr val="accent2"/>
              </a:solidFill>
              <a:round/>
            </a:ln>
            <a:effectLst/>
          </c:spPr>
          <c:marker>
            <c:symbol val="none"/>
          </c:marker>
          <c:cat>
            <c:numRef>
              <c:f>ARS!$H$121:$H$125</c:f>
              <c:numCache>
                <c:formatCode>dd/mm/yyyy;@</c:formatCode>
                <c:ptCount val="5"/>
                <c:pt idx="0">
                  <c:v>44469</c:v>
                </c:pt>
                <c:pt idx="1">
                  <c:v>44650</c:v>
                </c:pt>
                <c:pt idx="2">
                  <c:v>44834</c:v>
                </c:pt>
                <c:pt idx="3">
                  <c:v>45015</c:v>
                </c:pt>
                <c:pt idx="4">
                  <c:v>45199</c:v>
                </c:pt>
              </c:numCache>
            </c:numRef>
          </c:cat>
          <c:val>
            <c:numRef>
              <c:f>ARS!$O$121:$O$125</c:f>
              <c:numCache>
                <c:formatCode>#,##0.00</c:formatCode>
                <c:ptCount val="5"/>
                <c:pt idx="0">
                  <c:v>-10000000</c:v>
                </c:pt>
                <c:pt idx="1">
                  <c:v>-5322343.75</c:v>
                </c:pt>
                <c:pt idx="2">
                  <c:v>-480416.66666666605</c:v>
                </c:pt>
                <c:pt idx="3">
                  <c:v>3934852.430555556</c:v>
                </c:pt>
                <c:pt idx="4">
                  <c:v>7689470.4861111119</c:v>
                </c:pt>
              </c:numCache>
            </c:numRef>
          </c:val>
          <c:smooth val="0"/>
          <c:extLst>
            <c:ext xmlns:c16="http://schemas.microsoft.com/office/drawing/2014/chart" uri="{C3380CC4-5D6E-409C-BE32-E72D297353CC}">
              <c16:uniqueId val="{00000001-10B9-468F-A6B7-2045C7DDA9AA}"/>
            </c:ext>
          </c:extLst>
        </c:ser>
        <c:dLbls>
          <c:showLegendKey val="0"/>
          <c:showVal val="0"/>
          <c:showCatName val="0"/>
          <c:showSerName val="0"/>
          <c:showPercent val="0"/>
          <c:showBubbleSize val="0"/>
        </c:dLbls>
        <c:marker val="1"/>
        <c:smooth val="0"/>
        <c:axId val="623832520"/>
        <c:axId val="623831736"/>
      </c:lineChart>
      <c:dateAx>
        <c:axId val="62383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31736"/>
        <c:crosses val="autoZero"/>
        <c:auto val="0"/>
        <c:lblOffset val="50"/>
        <c:baseTimeUnit val="months"/>
        <c:majorUnit val="6"/>
        <c:majorTimeUnit val="months"/>
      </c:dateAx>
      <c:valAx>
        <c:axId val="62383173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2520"/>
        <c:crosses val="autoZero"/>
        <c:crossBetween val="between"/>
      </c:valAx>
      <c:spPr>
        <a:noFill/>
        <a:ln>
          <a:noFill/>
        </a:ln>
        <a:effectLst/>
      </c:spPr>
    </c:plotArea>
    <c:legend>
      <c:legendPos val="r"/>
      <c:layout>
        <c:manualLayout>
          <c:xMode val="edge"/>
          <c:yMode val="edge"/>
          <c:x val="0.78091442298139291"/>
          <c:y val="6.5229174497042602E-2"/>
          <c:w val="0.20556669316036733"/>
          <c:h val="0.277751621574691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ARS!$H$664:$H$670</c:f>
              <c:numCache>
                <c:formatCode>dd/mm/yyyy;@</c:formatCode>
                <c:ptCount val="7"/>
                <c:pt idx="0">
                  <c:v>44582</c:v>
                </c:pt>
                <c:pt idx="1">
                  <c:v>44763</c:v>
                </c:pt>
                <c:pt idx="2">
                  <c:v>44947</c:v>
                </c:pt>
                <c:pt idx="3">
                  <c:v>45128</c:v>
                </c:pt>
                <c:pt idx="4">
                  <c:v>45312</c:v>
                </c:pt>
                <c:pt idx="5">
                  <c:v>45494</c:v>
                </c:pt>
                <c:pt idx="6">
                  <c:v>45678</c:v>
                </c:pt>
              </c:numCache>
            </c:numRef>
          </c:cat>
          <c:val>
            <c:numRef>
              <c:f>ARS!$M$664:$M$670</c:f>
              <c:numCache>
                <c:formatCode>#,##0.00</c:formatCode>
                <c:ptCount val="7"/>
                <c:pt idx="0">
                  <c:v>-25000000</c:v>
                </c:pt>
                <c:pt idx="1">
                  <c:v>10297894.965277776</c:v>
                </c:pt>
                <c:pt idx="2">
                  <c:v>11172890.625</c:v>
                </c:pt>
                <c:pt idx="3">
                  <c:v>11624756.944444444</c:v>
                </c:pt>
                <c:pt idx="4">
                  <c:v>11412473.958333332</c:v>
                </c:pt>
                <c:pt idx="5">
                  <c:v>7819722.2222222229</c:v>
                </c:pt>
                <c:pt idx="6">
                  <c:v>7578689.236111111</c:v>
                </c:pt>
              </c:numCache>
            </c:numRef>
          </c:val>
          <c:extLst>
            <c:ext xmlns:c16="http://schemas.microsoft.com/office/drawing/2014/chart" uri="{C3380CC4-5D6E-409C-BE32-E72D297353CC}">
              <c16:uniqueId val="{00000000-F253-4BB5-8020-F48785E1AE08}"/>
            </c:ext>
          </c:extLst>
        </c:ser>
        <c:dLbls>
          <c:showLegendKey val="0"/>
          <c:showVal val="0"/>
          <c:showCatName val="0"/>
          <c:showSerName val="0"/>
          <c:showPercent val="0"/>
          <c:showBubbleSize val="0"/>
        </c:dLbls>
        <c:gapWidth val="0"/>
        <c:axId val="623830952"/>
        <c:axId val="623829776"/>
      </c:barChart>
      <c:lineChart>
        <c:grouping val="standard"/>
        <c:varyColors val="0"/>
        <c:ser>
          <c:idx val="1"/>
          <c:order val="1"/>
          <c:tx>
            <c:v>Acumulado</c:v>
          </c:tx>
          <c:spPr>
            <a:ln w="28575" cap="rnd">
              <a:solidFill>
                <a:schemeClr val="accent2"/>
              </a:solidFill>
              <a:round/>
            </a:ln>
            <a:effectLst/>
          </c:spPr>
          <c:marker>
            <c:symbol val="none"/>
          </c:marker>
          <c:val>
            <c:numRef>
              <c:f>ARS!$O$575:$O$581</c:f>
              <c:numCache>
                <c:formatCode>#,##0.00</c:formatCode>
                <c:ptCount val="7"/>
                <c:pt idx="0">
                  <c:v>-25000000</c:v>
                </c:pt>
                <c:pt idx="1">
                  <c:v>-14702105.034722224</c:v>
                </c:pt>
                <c:pt idx="2">
                  <c:v>-3529214.4097222239</c:v>
                </c:pt>
                <c:pt idx="3">
                  <c:v>8095542.5347222202</c:v>
                </c:pt>
                <c:pt idx="4">
                  <c:v>19508016.493055552</c:v>
                </c:pt>
                <c:pt idx="5">
                  <c:v>27327738.715277776</c:v>
                </c:pt>
                <c:pt idx="6">
                  <c:v>34906427.951388888</c:v>
                </c:pt>
              </c:numCache>
            </c:numRef>
          </c:val>
          <c:smooth val="0"/>
          <c:extLst>
            <c:ext xmlns:c16="http://schemas.microsoft.com/office/drawing/2014/chart" uri="{C3380CC4-5D6E-409C-BE32-E72D297353CC}">
              <c16:uniqueId val="{00000001-F253-4BB5-8020-F48785E1AE08}"/>
            </c:ext>
          </c:extLst>
        </c:ser>
        <c:dLbls>
          <c:showLegendKey val="0"/>
          <c:showVal val="0"/>
          <c:showCatName val="0"/>
          <c:showSerName val="0"/>
          <c:showPercent val="0"/>
          <c:showBubbleSize val="0"/>
        </c:dLbls>
        <c:marker val="1"/>
        <c:smooth val="0"/>
        <c:axId val="623830952"/>
        <c:axId val="623829776"/>
      </c:lineChart>
      <c:dateAx>
        <c:axId val="6238309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9776"/>
        <c:crosses val="autoZero"/>
        <c:auto val="0"/>
        <c:lblOffset val="50"/>
        <c:baseTimeUnit val="months"/>
        <c:majorUnit val="6"/>
        <c:majorTimeUnit val="months"/>
      </c:dateAx>
      <c:valAx>
        <c:axId val="6238297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9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c:v>
          </c:tx>
          <c:spPr>
            <a:solidFill>
              <a:schemeClr val="accent1"/>
            </a:solidFill>
            <a:ln>
              <a:noFill/>
            </a:ln>
            <a:effectLst/>
          </c:spPr>
          <c:invertIfNegative val="0"/>
          <c:cat>
            <c:numRef>
              <c:f>ARS!$H$1495:$H$1503</c:f>
              <c:numCache>
                <c:formatCode>dd/mm/yyyy;@</c:formatCode>
                <c:ptCount val="9"/>
                <c:pt idx="0">
                  <c:v>44592</c:v>
                </c:pt>
                <c:pt idx="1">
                  <c:v>44683</c:v>
                </c:pt>
                <c:pt idx="2">
                  <c:v>44774</c:v>
                </c:pt>
                <c:pt idx="3">
                  <c:v>44865</c:v>
                </c:pt>
                <c:pt idx="4">
                  <c:v>44957</c:v>
                </c:pt>
                <c:pt idx="5">
                  <c:v>45048</c:v>
                </c:pt>
                <c:pt idx="6">
                  <c:v>45138</c:v>
                </c:pt>
                <c:pt idx="7">
                  <c:v>45230</c:v>
                </c:pt>
                <c:pt idx="8">
                  <c:v>45322</c:v>
                </c:pt>
              </c:numCache>
            </c:numRef>
          </c:cat>
          <c:val>
            <c:numRef>
              <c:f>ARS!$M$1495:$M$1503</c:f>
              <c:numCache>
                <c:formatCode>#,##0.00</c:formatCode>
                <c:ptCount val="9"/>
                <c:pt idx="0">
                  <c:v>-30000000</c:v>
                </c:pt>
                <c:pt idx="1">
                  <c:v>3515342.4657534244</c:v>
                </c:pt>
                <c:pt idx="2">
                  <c:v>10015530.821917808</c:v>
                </c:pt>
                <c:pt idx="3">
                  <c:v>3952890.4109589043</c:v>
                </c:pt>
                <c:pt idx="4">
                  <c:v>10546438.356164385</c:v>
                </c:pt>
                <c:pt idx="5">
                  <c:v>3461116.4383561639</c:v>
                </c:pt>
                <c:pt idx="6">
                  <c:v>12914075.342465755</c:v>
                </c:pt>
                <c:pt idx="7">
                  <c:v>2632869.8630136983</c:v>
                </c:pt>
                <c:pt idx="8">
                  <c:v>11841287.671232877</c:v>
                </c:pt>
              </c:numCache>
            </c:numRef>
          </c:val>
          <c:extLst>
            <c:ext xmlns:c16="http://schemas.microsoft.com/office/drawing/2014/chart" uri="{C3380CC4-5D6E-409C-BE32-E72D297353CC}">
              <c16:uniqueId val="{00000000-8BD9-478E-B068-E242A4193181}"/>
            </c:ext>
          </c:extLst>
        </c:ser>
        <c:dLbls>
          <c:showLegendKey val="0"/>
          <c:showVal val="0"/>
          <c:showCatName val="0"/>
          <c:showSerName val="0"/>
          <c:showPercent val="0"/>
          <c:showBubbleSize val="0"/>
        </c:dLbls>
        <c:gapWidth val="0"/>
        <c:axId val="623830168"/>
        <c:axId val="604489608"/>
      </c:barChart>
      <c:lineChart>
        <c:grouping val="standard"/>
        <c:varyColors val="0"/>
        <c:ser>
          <c:idx val="1"/>
          <c:order val="1"/>
          <c:tx>
            <c:v>Acumulado</c:v>
          </c:tx>
          <c:spPr>
            <a:ln w="28575" cap="rnd">
              <a:solidFill>
                <a:schemeClr val="accent2"/>
              </a:solidFill>
              <a:round/>
            </a:ln>
            <a:effectLst/>
          </c:spPr>
          <c:marker>
            <c:symbol val="none"/>
          </c:marker>
          <c:val>
            <c:numRef>
              <c:f>ARS!$O$1383:$O$1391</c:f>
              <c:numCache>
                <c:formatCode>#,##0.00</c:formatCode>
                <c:ptCount val="9"/>
                <c:pt idx="0">
                  <c:v>-30000000</c:v>
                </c:pt>
                <c:pt idx="1">
                  <c:v>-26484657.534246575</c:v>
                </c:pt>
                <c:pt idx="2">
                  <c:v>-16469126.712328767</c:v>
                </c:pt>
                <c:pt idx="3">
                  <c:v>-12516236.301369863</c:v>
                </c:pt>
                <c:pt idx="4">
                  <c:v>-1969797.945205478</c:v>
                </c:pt>
                <c:pt idx="5">
                  <c:v>1491318.4931506859</c:v>
                </c:pt>
                <c:pt idx="6">
                  <c:v>14405393.83561644</c:v>
                </c:pt>
                <c:pt idx="7">
                  <c:v>17038263.698630139</c:v>
                </c:pt>
                <c:pt idx="8">
                  <c:v>28879551.369863018</c:v>
                </c:pt>
              </c:numCache>
            </c:numRef>
          </c:val>
          <c:smooth val="0"/>
          <c:extLst>
            <c:ext xmlns:c16="http://schemas.microsoft.com/office/drawing/2014/chart" uri="{C3380CC4-5D6E-409C-BE32-E72D297353CC}">
              <c16:uniqueId val="{00000001-8BD9-478E-B068-E242A4193181}"/>
            </c:ext>
          </c:extLst>
        </c:ser>
        <c:dLbls>
          <c:showLegendKey val="0"/>
          <c:showVal val="0"/>
          <c:showCatName val="0"/>
          <c:showSerName val="0"/>
          <c:showPercent val="0"/>
          <c:showBubbleSize val="0"/>
        </c:dLbls>
        <c:marker val="1"/>
        <c:smooth val="0"/>
        <c:axId val="623830168"/>
        <c:axId val="604489608"/>
      </c:lineChart>
      <c:dateAx>
        <c:axId val="6238301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9608"/>
        <c:crosses val="autoZero"/>
        <c:auto val="0"/>
        <c:lblOffset val="50"/>
        <c:baseTimeUnit val="months"/>
        <c:majorUnit val="6"/>
        <c:majorTimeUnit val="months"/>
      </c:dateAx>
      <c:valAx>
        <c:axId val="6044896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301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DAEF-4E3E-9A82-C03371D8C270}"/>
            </c:ext>
          </c:extLst>
        </c:ser>
        <c:dLbls>
          <c:showLegendKey val="0"/>
          <c:showVal val="0"/>
          <c:showCatName val="0"/>
          <c:showSerName val="0"/>
          <c:showPercent val="0"/>
          <c:showBubbleSize val="0"/>
        </c:dLbls>
        <c:gapWidth val="0"/>
        <c:axId val="604488432"/>
        <c:axId val="6044911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DAEF-4E3E-9A82-C03371D8C270}"/>
            </c:ext>
          </c:extLst>
        </c:ser>
        <c:dLbls>
          <c:showLegendKey val="0"/>
          <c:showVal val="0"/>
          <c:showCatName val="0"/>
          <c:showSerName val="0"/>
          <c:showPercent val="0"/>
          <c:showBubbleSize val="0"/>
        </c:dLbls>
        <c:marker val="1"/>
        <c:smooth val="0"/>
        <c:axId val="604488432"/>
        <c:axId val="604491176"/>
      </c:lineChart>
      <c:dateAx>
        <c:axId val="6044884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1176"/>
        <c:crosses val="autoZero"/>
        <c:auto val="0"/>
        <c:lblOffset val="50"/>
        <c:baseTimeUnit val="months"/>
        <c:majorUnit val="6"/>
        <c:majorTimeUnit val="months"/>
      </c:dateAx>
      <c:valAx>
        <c:axId val="604491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43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ARS!$H$1282:$H$1286</c:f>
              <c:numCache>
                <c:formatCode>dd/mm/yyyy;@</c:formatCode>
                <c:ptCount val="5"/>
                <c:pt idx="0">
                  <c:v>44648</c:v>
                </c:pt>
                <c:pt idx="1">
                  <c:v>44832</c:v>
                </c:pt>
                <c:pt idx="2">
                  <c:v>45013</c:v>
                </c:pt>
                <c:pt idx="3">
                  <c:v>45197</c:v>
                </c:pt>
                <c:pt idx="4">
                  <c:v>45379</c:v>
                </c:pt>
              </c:numCache>
            </c:numRef>
          </c:cat>
          <c:val>
            <c:numRef>
              <c:f>ARS!$M$1282:$M$1286</c:f>
              <c:numCache>
                <c:formatCode>#,##0.00</c:formatCode>
                <c:ptCount val="5"/>
                <c:pt idx="0">
                  <c:v>-50000000</c:v>
                </c:pt>
                <c:pt idx="1">
                  <c:v>21983561.643835619</c:v>
                </c:pt>
                <c:pt idx="2">
                  <c:v>19496703.767123286</c:v>
                </c:pt>
                <c:pt idx="3">
                  <c:v>17241780.82191781</c:v>
                </c:pt>
                <c:pt idx="4">
                  <c:v>14845119.8630137</c:v>
                </c:pt>
              </c:numCache>
            </c:numRef>
          </c:val>
          <c:extLst>
            <c:ext xmlns:c16="http://schemas.microsoft.com/office/drawing/2014/chart" uri="{C3380CC4-5D6E-409C-BE32-E72D297353CC}">
              <c16:uniqueId val="{00000000-264D-4380-9573-89FE6CC9789C}"/>
            </c:ext>
          </c:extLst>
        </c:ser>
        <c:dLbls>
          <c:showLegendKey val="0"/>
          <c:showVal val="0"/>
          <c:showCatName val="0"/>
          <c:showSerName val="0"/>
          <c:showPercent val="0"/>
          <c:showBubbleSize val="0"/>
        </c:dLbls>
        <c:gapWidth val="0"/>
        <c:axId val="604490392"/>
        <c:axId val="604490784"/>
      </c:barChart>
      <c:lineChart>
        <c:grouping val="standard"/>
        <c:varyColors val="0"/>
        <c:ser>
          <c:idx val="1"/>
          <c:order val="1"/>
          <c:tx>
            <c:v>Acumulado</c:v>
          </c:tx>
          <c:spPr>
            <a:ln w="28575" cap="rnd">
              <a:solidFill>
                <a:schemeClr val="accent2"/>
              </a:solidFill>
              <a:round/>
            </a:ln>
            <a:effectLst/>
          </c:spPr>
          <c:marker>
            <c:symbol val="none"/>
          </c:marker>
          <c:cat>
            <c:numRef>
              <c:f>ARS!$H$1282:$H$1286</c:f>
              <c:numCache>
                <c:formatCode>dd/mm/yyyy;@</c:formatCode>
                <c:ptCount val="5"/>
                <c:pt idx="0">
                  <c:v>44648</c:v>
                </c:pt>
                <c:pt idx="1">
                  <c:v>44832</c:v>
                </c:pt>
                <c:pt idx="2">
                  <c:v>45013</c:v>
                </c:pt>
                <c:pt idx="3">
                  <c:v>45197</c:v>
                </c:pt>
                <c:pt idx="4">
                  <c:v>45379</c:v>
                </c:pt>
              </c:numCache>
            </c:numRef>
          </c:cat>
          <c:val>
            <c:numRef>
              <c:f>ARS!$O$1173:$O$1177</c:f>
              <c:numCache>
                <c:formatCode>#,##0.00</c:formatCode>
                <c:ptCount val="5"/>
                <c:pt idx="0">
                  <c:v>-50000000</c:v>
                </c:pt>
                <c:pt idx="1">
                  <c:v>-28016438.356164381</c:v>
                </c:pt>
                <c:pt idx="2">
                  <c:v>-8519734.5890410952</c:v>
                </c:pt>
                <c:pt idx="3">
                  <c:v>8722046.2328767143</c:v>
                </c:pt>
                <c:pt idx="4">
                  <c:v>23567166.095890414</c:v>
                </c:pt>
              </c:numCache>
            </c:numRef>
          </c:val>
          <c:smooth val="0"/>
          <c:extLst>
            <c:ext xmlns:c16="http://schemas.microsoft.com/office/drawing/2014/chart" uri="{C3380CC4-5D6E-409C-BE32-E72D297353CC}">
              <c16:uniqueId val="{00000001-264D-4380-9573-89FE6CC9789C}"/>
            </c:ext>
          </c:extLst>
        </c:ser>
        <c:dLbls>
          <c:showLegendKey val="0"/>
          <c:showVal val="0"/>
          <c:showCatName val="0"/>
          <c:showSerName val="0"/>
          <c:showPercent val="0"/>
          <c:showBubbleSize val="0"/>
        </c:dLbls>
        <c:marker val="1"/>
        <c:smooth val="0"/>
        <c:axId val="604490392"/>
        <c:axId val="604490784"/>
      </c:lineChart>
      <c:dateAx>
        <c:axId val="604490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90784"/>
        <c:crosses val="autoZero"/>
        <c:auto val="0"/>
        <c:lblOffset val="50"/>
        <c:baseTimeUnit val="months"/>
        <c:majorUnit val="6"/>
        <c:majorTimeUnit val="months"/>
      </c:dateAx>
      <c:valAx>
        <c:axId val="604490784"/>
        <c:scaling>
          <c:orientation val="minMax"/>
          <c:max val="25000000"/>
          <c:min val="-5000000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90392"/>
        <c:crosses val="autoZero"/>
        <c:crossBetween val="between"/>
        <c:minorUnit val="1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ARS!$M$228:$M$234</c:f>
              <c:numCache>
                <c:formatCode>#,##0.00</c:formatCode>
                <c:ptCount val="7"/>
                <c:pt idx="0">
                  <c:v>-22000000</c:v>
                </c:pt>
                <c:pt idx="1">
                  <c:v>10209203.125</c:v>
                </c:pt>
                <c:pt idx="2">
                  <c:v>10573585.763888892</c:v>
                </c:pt>
                <c:pt idx="3">
                  <c:v>11045157.291666668</c:v>
                </c:pt>
                <c:pt idx="4">
                  <c:v>9429689.84375</c:v>
                </c:pt>
                <c:pt idx="5">
                  <c:v>6093037.5</c:v>
                </c:pt>
                <c:pt idx="6">
                  <c:v>6628731.770833334</c:v>
                </c:pt>
              </c:numCache>
            </c:numRef>
          </c:val>
          <c:extLst>
            <c:ext xmlns:c16="http://schemas.microsoft.com/office/drawing/2014/chart" uri="{C3380CC4-5D6E-409C-BE32-E72D297353CC}">
              <c16:uniqueId val="{00000000-E591-424F-B9AD-6ACFF1B73312}"/>
            </c:ext>
          </c:extLst>
        </c:ser>
        <c:dLbls>
          <c:showLegendKey val="0"/>
          <c:showVal val="0"/>
          <c:showCatName val="0"/>
          <c:showSerName val="0"/>
          <c:showPercent val="0"/>
          <c:showBubbleSize val="0"/>
        </c:dLbls>
        <c:gapWidth val="0"/>
        <c:axId val="604488824"/>
        <c:axId val="604486864"/>
      </c:barChart>
      <c:lineChart>
        <c:grouping val="standard"/>
        <c:varyColors val="0"/>
        <c:ser>
          <c:idx val="1"/>
          <c:order val="1"/>
          <c:tx>
            <c:v>Acumulado</c:v>
          </c:tx>
          <c:spPr>
            <a:ln w="28575" cap="rnd">
              <a:solidFill>
                <a:schemeClr val="accent2"/>
              </a:solidFill>
              <a:round/>
            </a:ln>
            <a:effectLst/>
          </c:spPr>
          <c:marker>
            <c:symbol val="none"/>
          </c:marker>
          <c:cat>
            <c:numRef>
              <c:f>ARS!$H$228:$H$234</c:f>
              <c:numCache>
                <c:formatCode>dd/mm/yyyy;@</c:formatCode>
                <c:ptCount val="7"/>
                <c:pt idx="0">
                  <c:v>44651</c:v>
                </c:pt>
                <c:pt idx="1">
                  <c:v>44834</c:v>
                </c:pt>
                <c:pt idx="2">
                  <c:v>45016</c:v>
                </c:pt>
                <c:pt idx="3">
                  <c:v>45199</c:v>
                </c:pt>
                <c:pt idx="4">
                  <c:v>45382</c:v>
                </c:pt>
                <c:pt idx="5">
                  <c:v>45565</c:v>
                </c:pt>
                <c:pt idx="6">
                  <c:v>45747</c:v>
                </c:pt>
              </c:numCache>
            </c:numRef>
          </c:cat>
          <c:val>
            <c:numRef>
              <c:f>ARS!$O$190:$O$196</c:f>
              <c:numCache>
                <c:formatCode>#,##0.00</c:formatCode>
                <c:ptCount val="7"/>
                <c:pt idx="0">
                  <c:v>-22000000</c:v>
                </c:pt>
                <c:pt idx="1">
                  <c:v>-11790796.875</c:v>
                </c:pt>
                <c:pt idx="2">
                  <c:v>-1217211.1111111082</c:v>
                </c:pt>
                <c:pt idx="3">
                  <c:v>9827946.1805555597</c:v>
                </c:pt>
                <c:pt idx="4">
                  <c:v>19257636.02430556</c:v>
                </c:pt>
                <c:pt idx="5">
                  <c:v>25350673.52430556</c:v>
                </c:pt>
                <c:pt idx="6">
                  <c:v>31979405.295138896</c:v>
                </c:pt>
              </c:numCache>
            </c:numRef>
          </c:val>
          <c:smooth val="0"/>
          <c:extLst>
            <c:ext xmlns:c16="http://schemas.microsoft.com/office/drawing/2014/chart" uri="{C3380CC4-5D6E-409C-BE32-E72D297353CC}">
              <c16:uniqueId val="{00000001-E591-424F-B9AD-6ACFF1B73312}"/>
            </c:ext>
          </c:extLst>
        </c:ser>
        <c:dLbls>
          <c:showLegendKey val="0"/>
          <c:showVal val="0"/>
          <c:showCatName val="0"/>
          <c:showSerName val="0"/>
          <c:showPercent val="0"/>
          <c:showBubbleSize val="0"/>
        </c:dLbls>
        <c:marker val="1"/>
        <c:smooth val="0"/>
        <c:axId val="604488824"/>
        <c:axId val="604486864"/>
      </c:lineChart>
      <c:dateAx>
        <c:axId val="6044888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6864"/>
        <c:crosses val="autoZero"/>
        <c:auto val="0"/>
        <c:lblOffset val="50"/>
        <c:baseTimeUnit val="months"/>
        <c:majorUnit val="6"/>
        <c:majorTimeUnit val="months"/>
      </c:dateAx>
      <c:valAx>
        <c:axId val="604486864"/>
        <c:scaling>
          <c:orientation val="minMax"/>
          <c:max val="25500000"/>
          <c:min val="-30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882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1"/>
            </a:solidFill>
            <a:ln>
              <a:noFill/>
            </a:ln>
            <a:effectLst/>
          </c:spPr>
          <c:invertIfNegative val="0"/>
          <c:cat>
            <c:numRef>
              <c:f>ARS!$H$2337:$H$2343</c:f>
              <c:numCache>
                <c:formatCode>dd/mm/yyyy;@</c:formatCode>
                <c:ptCount val="7"/>
                <c:pt idx="0">
                  <c:v>44680</c:v>
                </c:pt>
                <c:pt idx="1">
                  <c:v>44865</c:v>
                </c:pt>
                <c:pt idx="2">
                  <c:v>45047</c:v>
                </c:pt>
                <c:pt idx="3">
                  <c:v>45229</c:v>
                </c:pt>
                <c:pt idx="4">
                  <c:v>45411</c:v>
                </c:pt>
                <c:pt idx="5">
                  <c:v>45594</c:v>
                </c:pt>
                <c:pt idx="6">
                  <c:v>45776</c:v>
                </c:pt>
              </c:numCache>
            </c:numRef>
          </c:cat>
          <c:val>
            <c:numRef>
              <c:f>ARS!$M$2337:$M$2343</c:f>
              <c:numCache>
                <c:formatCode>#,##0.00</c:formatCode>
                <c:ptCount val="7"/>
                <c:pt idx="0">
                  <c:v>-65000000</c:v>
                </c:pt>
                <c:pt idx="1">
                  <c:v>30365776.90972222</c:v>
                </c:pt>
                <c:pt idx="2">
                  <c:v>31004463.975694444</c:v>
                </c:pt>
                <c:pt idx="3">
                  <c:v>32501184.895833332</c:v>
                </c:pt>
                <c:pt idx="4">
                  <c:v>27484730.902777776</c:v>
                </c:pt>
                <c:pt idx="5">
                  <c:v>17820427.083333332</c:v>
                </c:pt>
                <c:pt idx="6">
                  <c:v>19636234.809027776</c:v>
                </c:pt>
              </c:numCache>
            </c:numRef>
          </c:val>
          <c:extLst>
            <c:ext xmlns:c16="http://schemas.microsoft.com/office/drawing/2014/chart" uri="{C3380CC4-5D6E-409C-BE32-E72D297353CC}">
              <c16:uniqueId val="{00000000-E46E-4D89-AA04-24AC0100CE87}"/>
            </c:ext>
          </c:extLst>
        </c:ser>
        <c:dLbls>
          <c:showLegendKey val="0"/>
          <c:showVal val="0"/>
          <c:showCatName val="0"/>
          <c:showSerName val="0"/>
          <c:showPercent val="0"/>
          <c:showBubbleSize val="0"/>
        </c:dLbls>
        <c:gapWidth val="0"/>
        <c:axId val="604486472"/>
        <c:axId val="604476672"/>
      </c:barChart>
      <c:lineChart>
        <c:grouping val="standard"/>
        <c:varyColors val="0"/>
        <c:ser>
          <c:idx val="1"/>
          <c:order val="1"/>
          <c:tx>
            <c:v>Acumulado</c:v>
          </c:tx>
          <c:spPr>
            <a:ln w="28575" cap="rnd">
              <a:solidFill>
                <a:schemeClr val="accent2"/>
              </a:solidFill>
              <a:round/>
            </a:ln>
            <a:effectLst/>
          </c:spPr>
          <c:marker>
            <c:symbol val="none"/>
          </c:marker>
          <c:val>
            <c:numRef>
              <c:f>ARS!$O$2185:$O$2191</c:f>
              <c:numCache>
                <c:formatCode>#,##0.00</c:formatCode>
                <c:ptCount val="7"/>
                <c:pt idx="0">
                  <c:v>-65000000</c:v>
                </c:pt>
                <c:pt idx="1">
                  <c:v>-34634223.090277776</c:v>
                </c:pt>
                <c:pt idx="2">
                  <c:v>-3629759.1145833321</c:v>
                </c:pt>
                <c:pt idx="3">
                  <c:v>28871425.78125</c:v>
                </c:pt>
                <c:pt idx="4">
                  <c:v>56356156.684027776</c:v>
                </c:pt>
                <c:pt idx="5">
                  <c:v>74176583.767361104</c:v>
                </c:pt>
                <c:pt idx="6">
                  <c:v>93812818.576388881</c:v>
                </c:pt>
              </c:numCache>
            </c:numRef>
          </c:val>
          <c:smooth val="0"/>
          <c:extLst>
            <c:ext xmlns:c16="http://schemas.microsoft.com/office/drawing/2014/chart" uri="{C3380CC4-5D6E-409C-BE32-E72D297353CC}">
              <c16:uniqueId val="{00000001-E46E-4D89-AA04-24AC0100CE87}"/>
            </c:ext>
          </c:extLst>
        </c:ser>
        <c:dLbls>
          <c:showLegendKey val="0"/>
          <c:showVal val="0"/>
          <c:showCatName val="0"/>
          <c:showSerName val="0"/>
          <c:showPercent val="0"/>
          <c:showBubbleSize val="0"/>
        </c:dLbls>
        <c:marker val="1"/>
        <c:smooth val="0"/>
        <c:axId val="604486472"/>
        <c:axId val="604476672"/>
      </c:lineChart>
      <c:dateAx>
        <c:axId val="60448647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6672"/>
        <c:crosses val="autoZero"/>
        <c:auto val="0"/>
        <c:lblOffset val="50"/>
        <c:baseTimeUnit val="months"/>
        <c:majorUnit val="6"/>
        <c:majorTimeUnit val="months"/>
      </c:dateAx>
      <c:valAx>
        <c:axId val="60447667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472"/>
        <c:crosses val="autoZero"/>
        <c:crossBetween val="between"/>
        <c:majorUnit val="7000000"/>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ARS!$H$1212:$H$1217</c:f>
              <c:numCache>
                <c:formatCode>dd/mm/yyyy;@</c:formatCode>
                <c:ptCount val="6"/>
                <c:pt idx="0">
                  <c:v>44707</c:v>
                </c:pt>
                <c:pt idx="1">
                  <c:v>44893</c:v>
                </c:pt>
                <c:pt idx="2">
                  <c:v>45072</c:v>
                </c:pt>
                <c:pt idx="3">
                  <c:v>45257</c:v>
                </c:pt>
                <c:pt idx="4">
                  <c:v>45439</c:v>
                </c:pt>
                <c:pt idx="5">
                  <c:v>45622</c:v>
                </c:pt>
              </c:numCache>
            </c:numRef>
          </c:cat>
          <c:val>
            <c:numRef>
              <c:f>ARS!$M$1212:$M$1217</c:f>
              <c:numCache>
                <c:formatCode>#,##0.00</c:formatCode>
                <c:ptCount val="6"/>
                <c:pt idx="0">
                  <c:v>-50000000</c:v>
                </c:pt>
                <c:pt idx="1">
                  <c:v>25911718.75</c:v>
                </c:pt>
                <c:pt idx="2">
                  <c:v>26383472.222222224</c:v>
                </c:pt>
                <c:pt idx="3">
                  <c:v>27416015.625000004</c:v>
                </c:pt>
                <c:pt idx="4">
                  <c:v>19387408.333333336</c:v>
                </c:pt>
                <c:pt idx="5">
                  <c:v>12350978.125</c:v>
                </c:pt>
              </c:numCache>
            </c:numRef>
          </c:val>
          <c:extLst>
            <c:ext xmlns:c16="http://schemas.microsoft.com/office/drawing/2014/chart" uri="{C3380CC4-5D6E-409C-BE32-E72D297353CC}">
              <c16:uniqueId val="{00000000-00E5-4546-B276-BDA966D2A721}"/>
            </c:ext>
          </c:extLst>
        </c:ser>
        <c:dLbls>
          <c:showLegendKey val="0"/>
          <c:showVal val="0"/>
          <c:showCatName val="0"/>
          <c:showSerName val="0"/>
          <c:showPercent val="0"/>
          <c:showBubbleSize val="0"/>
        </c:dLbls>
        <c:gapWidth val="0"/>
        <c:axId val="604484904"/>
        <c:axId val="604485688"/>
      </c:barChart>
      <c:lineChart>
        <c:grouping val="standard"/>
        <c:varyColors val="0"/>
        <c:ser>
          <c:idx val="1"/>
          <c:order val="1"/>
          <c:tx>
            <c:v>Acumulado</c:v>
          </c:tx>
          <c:spPr>
            <a:ln w="28575" cap="rnd">
              <a:solidFill>
                <a:schemeClr val="accent2"/>
              </a:solidFill>
              <a:round/>
            </a:ln>
            <a:effectLst/>
          </c:spPr>
          <c:marker>
            <c:symbol val="none"/>
          </c:marker>
          <c:cat>
            <c:numRef>
              <c:f>ARS!$H$1212:$H$1217</c:f>
              <c:numCache>
                <c:formatCode>dd/mm/yyyy;@</c:formatCode>
                <c:ptCount val="6"/>
                <c:pt idx="0">
                  <c:v>44707</c:v>
                </c:pt>
                <c:pt idx="1">
                  <c:v>44893</c:v>
                </c:pt>
                <c:pt idx="2">
                  <c:v>45072</c:v>
                </c:pt>
                <c:pt idx="3">
                  <c:v>45257</c:v>
                </c:pt>
                <c:pt idx="4">
                  <c:v>45439</c:v>
                </c:pt>
                <c:pt idx="5">
                  <c:v>45622</c:v>
                </c:pt>
              </c:numCache>
            </c:numRef>
          </c:cat>
          <c:val>
            <c:numRef>
              <c:f>ARS!$O$1098:$O$1103</c:f>
              <c:numCache>
                <c:formatCode>#,##0.00</c:formatCode>
                <c:ptCount val="6"/>
                <c:pt idx="0">
                  <c:v>-50000000</c:v>
                </c:pt>
                <c:pt idx="1">
                  <c:v>-24088281.25</c:v>
                </c:pt>
                <c:pt idx="2">
                  <c:v>2295190.9722222239</c:v>
                </c:pt>
                <c:pt idx="3">
                  <c:v>29711206.597222228</c:v>
                </c:pt>
                <c:pt idx="4">
                  <c:v>49098614.930555567</c:v>
                </c:pt>
                <c:pt idx="5">
                  <c:v>61449593.055555567</c:v>
                </c:pt>
              </c:numCache>
            </c:numRef>
          </c:val>
          <c:smooth val="0"/>
          <c:extLst>
            <c:ext xmlns:c16="http://schemas.microsoft.com/office/drawing/2014/chart" uri="{C3380CC4-5D6E-409C-BE32-E72D297353CC}">
              <c16:uniqueId val="{00000001-00E5-4546-B276-BDA966D2A721}"/>
            </c:ext>
          </c:extLst>
        </c:ser>
        <c:dLbls>
          <c:showLegendKey val="0"/>
          <c:showVal val="0"/>
          <c:showCatName val="0"/>
          <c:showSerName val="0"/>
          <c:showPercent val="0"/>
          <c:showBubbleSize val="0"/>
        </c:dLbls>
        <c:marker val="1"/>
        <c:smooth val="0"/>
        <c:axId val="604484904"/>
        <c:axId val="604485688"/>
      </c:lineChart>
      <c:dateAx>
        <c:axId val="6044849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688"/>
        <c:crossesAt val="0"/>
        <c:auto val="0"/>
        <c:lblOffset val="50"/>
        <c:baseTimeUnit val="months"/>
        <c:majorUnit val="6"/>
        <c:majorTimeUnit val="months"/>
      </c:dateAx>
      <c:valAx>
        <c:axId val="604485688"/>
        <c:scaling>
          <c:orientation val="minMax"/>
          <c:min val="-100000000"/>
        </c:scaling>
        <c:delete val="0"/>
        <c:axPos val="l"/>
        <c:majorGridlines>
          <c:spPr>
            <a:ln w="9525" cap="flat" cmpd="sng" algn="ctr">
              <a:solidFill>
                <a:schemeClr val="tx1">
                  <a:lumMod val="15000"/>
                  <a:lumOff val="85000"/>
                </a:schemeClr>
              </a:solidFill>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904"/>
        <c:crosses val="autoZero"/>
        <c:crossBetween val="between"/>
        <c:majorUnit val="10000000"/>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ARS!$H$702:$H$706</c:f>
              <c:numCache>
                <c:formatCode>dd/mm/yyyy;@</c:formatCode>
                <c:ptCount val="5"/>
                <c:pt idx="0">
                  <c:v>44712</c:v>
                </c:pt>
                <c:pt idx="1">
                  <c:v>44895</c:v>
                </c:pt>
                <c:pt idx="2">
                  <c:v>45077</c:v>
                </c:pt>
                <c:pt idx="3">
                  <c:v>45260</c:v>
                </c:pt>
                <c:pt idx="4">
                  <c:v>45443</c:v>
                </c:pt>
              </c:numCache>
            </c:numRef>
          </c:cat>
          <c:val>
            <c:numRef>
              <c:f>ARS!$M$702:$M$706</c:f>
              <c:numCache>
                <c:formatCode>#,##0.00</c:formatCode>
                <c:ptCount val="5"/>
                <c:pt idx="0">
                  <c:v>-25000000</c:v>
                </c:pt>
                <c:pt idx="1">
                  <c:v>11506054.6875</c:v>
                </c:pt>
                <c:pt idx="2">
                  <c:v>16567810.329861112</c:v>
                </c:pt>
                <c:pt idx="3">
                  <c:v>13038020.833333332</c:v>
                </c:pt>
                <c:pt idx="4">
                  <c:v>12507099.609375</c:v>
                </c:pt>
              </c:numCache>
            </c:numRef>
          </c:val>
          <c:extLst>
            <c:ext xmlns:c16="http://schemas.microsoft.com/office/drawing/2014/chart" uri="{C3380CC4-5D6E-409C-BE32-E72D297353CC}">
              <c16:uniqueId val="{00000000-A80B-4CC0-959E-C7E151103F65}"/>
            </c:ext>
          </c:extLst>
        </c:ser>
        <c:dLbls>
          <c:showLegendKey val="0"/>
          <c:showVal val="0"/>
          <c:showCatName val="0"/>
          <c:showSerName val="0"/>
          <c:showPercent val="0"/>
          <c:showBubbleSize val="0"/>
        </c:dLbls>
        <c:gapWidth val="0"/>
        <c:axId val="604481768"/>
        <c:axId val="604479808"/>
      </c:barChart>
      <c:lineChart>
        <c:grouping val="standard"/>
        <c:varyColors val="0"/>
        <c:ser>
          <c:idx val="1"/>
          <c:order val="1"/>
          <c:tx>
            <c:v>Acumulado</c:v>
          </c:tx>
          <c:spPr>
            <a:ln w="28575" cap="rnd">
              <a:solidFill>
                <a:schemeClr val="accent2"/>
              </a:solidFill>
              <a:round/>
            </a:ln>
            <a:effectLst/>
          </c:spPr>
          <c:marker>
            <c:symbol val="none"/>
          </c:marker>
          <c:cat>
            <c:numRef>
              <c:f>ARS!$H$702:$H$706</c:f>
              <c:numCache>
                <c:formatCode>dd/mm/yyyy;@</c:formatCode>
                <c:ptCount val="5"/>
                <c:pt idx="0">
                  <c:v>44712</c:v>
                </c:pt>
                <c:pt idx="1">
                  <c:v>44895</c:v>
                </c:pt>
                <c:pt idx="2">
                  <c:v>45077</c:v>
                </c:pt>
                <c:pt idx="3">
                  <c:v>45260</c:v>
                </c:pt>
                <c:pt idx="4">
                  <c:v>45443</c:v>
                </c:pt>
              </c:numCache>
            </c:numRef>
          </c:cat>
          <c:val>
            <c:numRef>
              <c:f>ARS!$O$624:$O$628</c:f>
              <c:numCache>
                <c:formatCode>#,##0.00</c:formatCode>
                <c:ptCount val="5"/>
                <c:pt idx="0">
                  <c:v>-25000000</c:v>
                </c:pt>
                <c:pt idx="1">
                  <c:v>-13493945.3125</c:v>
                </c:pt>
                <c:pt idx="2">
                  <c:v>3073865.0173611119</c:v>
                </c:pt>
                <c:pt idx="3">
                  <c:v>16111885.850694444</c:v>
                </c:pt>
                <c:pt idx="4">
                  <c:v>28618985.460069444</c:v>
                </c:pt>
              </c:numCache>
            </c:numRef>
          </c:val>
          <c:smooth val="0"/>
          <c:extLst>
            <c:ext xmlns:c16="http://schemas.microsoft.com/office/drawing/2014/chart" uri="{C3380CC4-5D6E-409C-BE32-E72D297353CC}">
              <c16:uniqueId val="{00000001-A80B-4CC0-959E-C7E151103F65}"/>
            </c:ext>
          </c:extLst>
        </c:ser>
        <c:dLbls>
          <c:showLegendKey val="0"/>
          <c:showVal val="0"/>
          <c:showCatName val="0"/>
          <c:showSerName val="0"/>
          <c:showPercent val="0"/>
          <c:showBubbleSize val="0"/>
        </c:dLbls>
        <c:marker val="1"/>
        <c:smooth val="0"/>
        <c:axId val="604481768"/>
        <c:axId val="604479808"/>
      </c:lineChart>
      <c:dateAx>
        <c:axId val="6044817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808"/>
        <c:crosses val="autoZero"/>
        <c:auto val="0"/>
        <c:lblOffset val="50"/>
        <c:baseTimeUnit val="months"/>
        <c:majorUnit val="6"/>
        <c:majorTimeUnit val="months"/>
      </c:dateAx>
      <c:valAx>
        <c:axId val="6044798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176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8958033633081E-2"/>
          <c:y val="0.13206205876903415"/>
          <c:w val="0.85892102354463706"/>
          <c:h val="0.7358758824619317"/>
        </c:manualLayout>
      </c:layout>
      <c:barChart>
        <c:barDir val="bar"/>
        <c:grouping val="clustered"/>
        <c:varyColors val="0"/>
        <c:ser>
          <c:idx val="0"/>
          <c:order val="0"/>
          <c:spPr>
            <a:solidFill>
              <a:srgbClr val="00CC99"/>
            </a:solidFill>
            <a:ln>
              <a:solidFill>
                <a:srgbClr val="00CC99"/>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 Oscuro'!$C$52:$C$55</c:f>
              <c:strCache>
                <c:ptCount val="4"/>
                <c:pt idx="0">
                  <c:v>ON Pyme CNV Garantizada</c:v>
                </c:pt>
                <c:pt idx="1">
                  <c:v>ON Pyme</c:v>
                </c:pt>
                <c:pt idx="2">
                  <c:v>Régimen General</c:v>
                </c:pt>
                <c:pt idx="3">
                  <c:v>VCP</c:v>
                </c:pt>
              </c:strCache>
            </c:strRef>
          </c:cat>
          <c:val>
            <c:numRef>
              <c:f>'Reporte - Oscuro'!$K$52:$K$55</c:f>
              <c:numCache>
                <c:formatCode>0.00%</c:formatCode>
                <c:ptCount val="4"/>
                <c:pt idx="0">
                  <c:v>0.95307728433790695</c:v>
                </c:pt>
                <c:pt idx="1">
                  <c:v>1.9502059117163083E-2</c:v>
                </c:pt>
                <c:pt idx="2">
                  <c:v>2.742065654492996E-2</c:v>
                </c:pt>
                <c:pt idx="3">
                  <c:v>0</c:v>
                </c:pt>
              </c:numCache>
            </c:numRef>
          </c:val>
          <c:extLst>
            <c:ext xmlns:c16="http://schemas.microsoft.com/office/drawing/2014/chart" uri="{C3380CC4-5D6E-409C-BE32-E72D297353CC}">
              <c16:uniqueId val="{00000000-82E2-4B98-BDB3-9AAA9CD1B32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'Reporte - Oscuro'!$C$52:$C$55</c:f>
              <c:strCache>
                <c:ptCount val="4"/>
                <c:pt idx="0">
                  <c:v>ON Pyme CNV Garantizada</c:v>
                </c:pt>
                <c:pt idx="1">
                  <c:v>ON Pyme</c:v>
                </c:pt>
                <c:pt idx="2">
                  <c:v>Régimen General</c:v>
                </c:pt>
                <c:pt idx="3">
                  <c:v>VCP</c:v>
                </c:pt>
              </c:strCache>
            </c:strRef>
          </c:cat>
          <c:val>
            <c:numRef>
              <c:f>'Reporte - Oscuro'!$J$40:$J$43</c:f>
              <c:numCache>
                <c:formatCode>#,##0</c:formatCode>
                <c:ptCount val="4"/>
              </c:numCache>
            </c:numRef>
          </c:val>
          <c:extLst>
            <c:ext xmlns:c16="http://schemas.microsoft.com/office/drawing/2014/chart" uri="{C3380CC4-5D6E-409C-BE32-E72D297353CC}">
              <c16:uniqueId val="{00000001-82E2-4B98-BDB3-9AAA9CD1B326}"/>
            </c:ext>
          </c:extLst>
        </c:ser>
        <c:dLbls>
          <c:dLblPos val="outEnd"/>
          <c:showLegendKey val="0"/>
          <c:showVal val="1"/>
          <c:showCatName val="0"/>
          <c:showSerName val="0"/>
          <c:showPercent val="0"/>
          <c:showBubbleSize val="0"/>
        </c:dLbls>
        <c:gapWidth val="0"/>
        <c:axId val="535009888"/>
        <c:axId val="224355608"/>
      </c:barChart>
      <c:catAx>
        <c:axId val="535009888"/>
        <c:scaling>
          <c:orientation val="maxMin"/>
        </c:scaling>
        <c:delete val="1"/>
        <c:axPos val="l"/>
        <c:numFmt formatCode="General" sourceLinked="1"/>
        <c:majorTickMark val="none"/>
        <c:minorTickMark val="none"/>
        <c:tickLblPos val="nextTo"/>
        <c:crossAx val="224355608"/>
        <c:crosses val="autoZero"/>
        <c:auto val="1"/>
        <c:lblAlgn val="ctr"/>
        <c:lblOffset val="100"/>
        <c:noMultiLvlLbl val="0"/>
      </c:catAx>
      <c:valAx>
        <c:axId val="224355608"/>
        <c:scaling>
          <c:orientation val="minMax"/>
        </c:scaling>
        <c:delete val="1"/>
        <c:axPos val="t"/>
        <c:numFmt formatCode="0.00%" sourceLinked="1"/>
        <c:majorTickMark val="none"/>
        <c:minorTickMark val="none"/>
        <c:tickLblPos val="nextTo"/>
        <c:crossAx val="5350098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ARS!$H$16:$H$20</c:f>
              <c:numCache>
                <c:formatCode>dd/mm/yyyy;@</c:formatCode>
                <c:ptCount val="5"/>
                <c:pt idx="0">
                  <c:v>44740</c:v>
                </c:pt>
                <c:pt idx="1">
                  <c:v>44923</c:v>
                </c:pt>
                <c:pt idx="2">
                  <c:v>45105</c:v>
                </c:pt>
                <c:pt idx="3">
                  <c:v>45288</c:v>
                </c:pt>
                <c:pt idx="4">
                  <c:v>45471</c:v>
                </c:pt>
              </c:numCache>
            </c:numRef>
          </c:cat>
          <c:val>
            <c:numRef>
              <c:f>ARS!$M$16:$M$20</c:f>
              <c:numCache>
                <c:formatCode>#,##0.00</c:formatCode>
                <c:ptCount val="5"/>
                <c:pt idx="0">
                  <c:v>-30000000</c:v>
                </c:pt>
                <c:pt idx="1">
                  <c:v>16834906.25</c:v>
                </c:pt>
                <c:pt idx="2">
                  <c:v>17068507.8125</c:v>
                </c:pt>
                <c:pt idx="3">
                  <c:v>16161046.875</c:v>
                </c:pt>
                <c:pt idx="4">
                  <c:v>10720132.8125</c:v>
                </c:pt>
              </c:numCache>
            </c:numRef>
          </c:val>
          <c:extLst>
            <c:ext xmlns:c16="http://schemas.microsoft.com/office/drawing/2014/chart" uri="{C3380CC4-5D6E-409C-BE32-E72D297353CC}">
              <c16:uniqueId val="{00000000-D934-424C-BD89-6B88DF816177}"/>
            </c:ext>
          </c:extLst>
        </c:ser>
        <c:dLbls>
          <c:showLegendKey val="0"/>
          <c:showVal val="0"/>
          <c:showCatName val="0"/>
          <c:showSerName val="0"/>
          <c:showPercent val="0"/>
          <c:showBubbleSize val="0"/>
        </c:dLbls>
        <c:gapWidth val="0"/>
        <c:axId val="604486080"/>
        <c:axId val="604479024"/>
      </c:barChart>
      <c:lineChart>
        <c:grouping val="standard"/>
        <c:varyColors val="0"/>
        <c:ser>
          <c:idx val="1"/>
          <c:order val="1"/>
          <c:tx>
            <c:v>Acumulado</c:v>
          </c:tx>
          <c:spPr>
            <a:ln w="28575" cap="rnd">
              <a:solidFill>
                <a:schemeClr val="accent2"/>
              </a:solidFill>
              <a:round/>
            </a:ln>
            <a:effectLst/>
          </c:spPr>
          <c:marker>
            <c:symbol val="none"/>
          </c:marker>
          <c:cat>
            <c:numRef>
              <c:f>ARS!$H$16:$H$20</c:f>
              <c:numCache>
                <c:formatCode>dd/mm/yyyy;@</c:formatCode>
                <c:ptCount val="5"/>
                <c:pt idx="0">
                  <c:v>44740</c:v>
                </c:pt>
                <c:pt idx="1">
                  <c:v>44923</c:v>
                </c:pt>
                <c:pt idx="2">
                  <c:v>45105</c:v>
                </c:pt>
                <c:pt idx="3">
                  <c:v>45288</c:v>
                </c:pt>
                <c:pt idx="4">
                  <c:v>45471</c:v>
                </c:pt>
              </c:numCache>
            </c:numRef>
          </c:cat>
          <c:val>
            <c:numRef>
              <c:f>ARS!$O$16:$O$20</c:f>
              <c:numCache>
                <c:formatCode>#,##0.00</c:formatCode>
                <c:ptCount val="5"/>
                <c:pt idx="0">
                  <c:v>-30000000</c:v>
                </c:pt>
                <c:pt idx="1">
                  <c:v>-13165093.75</c:v>
                </c:pt>
                <c:pt idx="2">
                  <c:v>3903414.0625</c:v>
                </c:pt>
                <c:pt idx="3">
                  <c:v>20064460.9375</c:v>
                </c:pt>
                <c:pt idx="4">
                  <c:v>30784593.75</c:v>
                </c:pt>
              </c:numCache>
            </c:numRef>
          </c:val>
          <c:smooth val="0"/>
          <c:extLst>
            <c:ext xmlns:c16="http://schemas.microsoft.com/office/drawing/2014/chart" uri="{C3380CC4-5D6E-409C-BE32-E72D297353CC}">
              <c16:uniqueId val="{00000001-D934-424C-BD89-6B88DF816177}"/>
            </c:ext>
          </c:extLst>
        </c:ser>
        <c:dLbls>
          <c:showLegendKey val="0"/>
          <c:showVal val="0"/>
          <c:showCatName val="0"/>
          <c:showSerName val="0"/>
          <c:showPercent val="0"/>
          <c:showBubbleSize val="0"/>
        </c:dLbls>
        <c:marker val="1"/>
        <c:smooth val="0"/>
        <c:axId val="604486080"/>
        <c:axId val="604479024"/>
      </c:lineChart>
      <c:dateAx>
        <c:axId val="60448608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9024"/>
        <c:crosses val="autoZero"/>
        <c:auto val="0"/>
        <c:lblOffset val="50"/>
        <c:baseTimeUnit val="months"/>
        <c:majorUnit val="6"/>
        <c:majorTimeUnit val="months"/>
      </c:dateAx>
      <c:valAx>
        <c:axId val="604479024"/>
        <c:scaling>
          <c:orientation val="minMax"/>
          <c:max val="25000000"/>
          <c:min val="-350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6080"/>
        <c:crosses val="autoZero"/>
        <c:crossBetween val="between"/>
        <c:majorUnit val="10000000"/>
      </c:valAx>
      <c:spPr>
        <a:noFill/>
        <a:ln>
          <a:noFill/>
        </a:ln>
        <a:effectLst/>
      </c:spPr>
    </c:plotArea>
    <c:legend>
      <c:legendPos val="r"/>
      <c:layout>
        <c:manualLayout>
          <c:xMode val="edge"/>
          <c:yMode val="edge"/>
          <c:x val="0.78091442298139291"/>
          <c:y val="3.7314587606614061E-2"/>
          <c:w val="0.20556669316036733"/>
          <c:h val="0.35032974414386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7727-45B0-9FD7-38B2D126FCAC}"/>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7727-45B0-9FD7-38B2D126FCAC}"/>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78B-4812-8EA8-B21987061BB4}"/>
            </c:ext>
          </c:extLst>
        </c:ser>
        <c:dLbls>
          <c:showLegendKey val="0"/>
          <c:showVal val="0"/>
          <c:showCatName val="0"/>
          <c:showSerName val="0"/>
          <c:showPercent val="0"/>
          <c:showBubbleSize val="0"/>
        </c:dLbls>
        <c:gapWidth val="0"/>
        <c:axId val="604483336"/>
        <c:axId val="60447824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78B-4812-8EA8-B21987061BB4}"/>
            </c:ext>
          </c:extLst>
        </c:ser>
        <c:dLbls>
          <c:showLegendKey val="0"/>
          <c:showVal val="0"/>
          <c:showCatName val="0"/>
          <c:showSerName val="0"/>
          <c:showPercent val="0"/>
          <c:showBubbleSize val="0"/>
        </c:dLbls>
        <c:marker val="1"/>
        <c:smooth val="0"/>
        <c:axId val="604483336"/>
        <c:axId val="604478240"/>
      </c:lineChart>
      <c:dateAx>
        <c:axId val="6044833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8240"/>
        <c:crosses val="autoZero"/>
        <c:auto val="0"/>
        <c:lblOffset val="50"/>
        <c:baseTimeUnit val="months"/>
        <c:majorUnit val="6"/>
        <c:majorTimeUnit val="months"/>
      </c:dateAx>
      <c:valAx>
        <c:axId val="60447824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33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F771-4CF8-AF10-3703B3E93B9D}"/>
            </c:ext>
          </c:extLst>
        </c:ser>
        <c:dLbls>
          <c:showLegendKey val="0"/>
          <c:showVal val="0"/>
          <c:showCatName val="0"/>
          <c:showSerName val="0"/>
          <c:showPercent val="0"/>
          <c:showBubbleSize val="0"/>
        </c:dLbls>
        <c:gapWidth val="0"/>
        <c:axId val="604479416"/>
        <c:axId val="604485296"/>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F771-4CF8-AF10-3703B3E93B9D}"/>
            </c:ext>
          </c:extLst>
        </c:ser>
        <c:dLbls>
          <c:showLegendKey val="0"/>
          <c:showVal val="0"/>
          <c:showCatName val="0"/>
          <c:showSerName val="0"/>
          <c:showPercent val="0"/>
          <c:showBubbleSize val="0"/>
        </c:dLbls>
        <c:marker val="1"/>
        <c:smooth val="0"/>
        <c:axId val="604479416"/>
        <c:axId val="604485296"/>
      </c:lineChart>
      <c:dateAx>
        <c:axId val="6044794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5296"/>
        <c:crosses val="autoZero"/>
        <c:auto val="0"/>
        <c:lblOffset val="50"/>
        <c:baseTimeUnit val="months"/>
        <c:majorUnit val="6"/>
        <c:majorTimeUnit val="months"/>
      </c:dateAx>
      <c:valAx>
        <c:axId val="6044852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9416"/>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1BA-4D1F-94BF-53D664D9F647}"/>
            </c:ext>
          </c:extLst>
        </c:ser>
        <c:dLbls>
          <c:showLegendKey val="0"/>
          <c:showVal val="0"/>
          <c:showCatName val="0"/>
          <c:showSerName val="0"/>
          <c:showPercent val="0"/>
          <c:showBubbleSize val="0"/>
        </c:dLbls>
        <c:gapWidth val="0"/>
        <c:axId val="604484512"/>
        <c:axId val="6044841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1BA-4D1F-94BF-53D664D9F647}"/>
            </c:ext>
          </c:extLst>
        </c:ser>
        <c:dLbls>
          <c:showLegendKey val="0"/>
          <c:showVal val="0"/>
          <c:showCatName val="0"/>
          <c:showSerName val="0"/>
          <c:showPercent val="0"/>
          <c:showBubbleSize val="0"/>
        </c:dLbls>
        <c:marker val="1"/>
        <c:smooth val="0"/>
        <c:axId val="604484512"/>
        <c:axId val="604484120"/>
      </c:lineChart>
      <c:dateAx>
        <c:axId val="6044845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4120"/>
        <c:crosses val="autoZero"/>
        <c:auto val="0"/>
        <c:lblOffset val="50"/>
        <c:baseTimeUnit val="months"/>
        <c:majorUnit val="6"/>
        <c:majorTimeUnit val="months"/>
      </c:dateAx>
      <c:valAx>
        <c:axId val="6044841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451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ARS!$H$1824:$H$1830</c:f>
              <c:numCache>
                <c:formatCode>dd/mm/yyyy;@</c:formatCode>
                <c:ptCount val="7"/>
                <c:pt idx="0">
                  <c:v>44883</c:v>
                </c:pt>
                <c:pt idx="1">
                  <c:v>44975</c:v>
                </c:pt>
                <c:pt idx="2">
                  <c:v>45064</c:v>
                </c:pt>
                <c:pt idx="3">
                  <c:v>45156</c:v>
                </c:pt>
                <c:pt idx="4">
                  <c:v>45248</c:v>
                </c:pt>
                <c:pt idx="5">
                  <c:v>45340</c:v>
                </c:pt>
                <c:pt idx="6">
                  <c:v>45430</c:v>
                </c:pt>
              </c:numCache>
            </c:numRef>
          </c:cat>
          <c:val>
            <c:numRef>
              <c:f>ARS!$M$1824:$M$1830</c:f>
              <c:numCache>
                <c:formatCode>#,##0.00</c:formatCode>
                <c:ptCount val="7"/>
                <c:pt idx="0">
                  <c:v>9735616.4383561648</c:v>
                </c:pt>
                <c:pt idx="1">
                  <c:v>9735616.4383561648</c:v>
                </c:pt>
                <c:pt idx="2">
                  <c:v>9418150.6849315073</c:v>
                </c:pt>
                <c:pt idx="3">
                  <c:v>59817808.219173074</c:v>
                </c:pt>
                <c:pt idx="4">
                  <c:v>6490410.9589044349</c:v>
                </c:pt>
                <c:pt idx="5">
                  <c:v>46490410.958900437</c:v>
                </c:pt>
                <c:pt idx="6">
                  <c:v>3174657.5342472102</c:v>
                </c:pt>
              </c:numCache>
            </c:numRef>
          </c:val>
          <c:extLst>
            <c:ext xmlns:c16="http://schemas.microsoft.com/office/drawing/2014/chart" uri="{C3380CC4-5D6E-409C-BE32-E72D297353CC}">
              <c16:uniqueId val="{00000000-F933-4017-9052-207893A6A7B6}"/>
            </c:ext>
          </c:extLst>
        </c:ser>
        <c:dLbls>
          <c:showLegendKey val="0"/>
          <c:showVal val="0"/>
          <c:showCatName val="0"/>
          <c:showSerName val="0"/>
          <c:showPercent val="0"/>
          <c:showBubbleSize val="0"/>
        </c:dLbls>
        <c:gapWidth val="0"/>
        <c:axId val="604487256"/>
        <c:axId val="604475888"/>
      </c:barChart>
      <c:lineChart>
        <c:grouping val="standard"/>
        <c:varyColors val="0"/>
        <c:ser>
          <c:idx val="1"/>
          <c:order val="1"/>
          <c:tx>
            <c:v>Acumulado</c:v>
          </c:tx>
          <c:spPr>
            <a:ln w="28575" cap="rnd">
              <a:solidFill>
                <a:schemeClr val="accent2"/>
              </a:solidFill>
              <a:round/>
            </a:ln>
            <a:effectLst/>
          </c:spPr>
          <c:marker>
            <c:symbol val="none"/>
          </c:marker>
          <c:val>
            <c:numRef>
              <c:f>ARS!$O$1676:$O$1682</c:f>
              <c:numCache>
                <c:formatCode>#,##0.00</c:formatCode>
                <c:ptCount val="7"/>
                <c:pt idx="0">
                  <c:v>9735616.4383561648</c:v>
                </c:pt>
                <c:pt idx="1">
                  <c:v>19471232.87671233</c:v>
                </c:pt>
                <c:pt idx="2">
                  <c:v>28889383.561643839</c:v>
                </c:pt>
                <c:pt idx="3">
                  <c:v>88707191.780816913</c:v>
                </c:pt>
                <c:pt idx="4">
                  <c:v>95197602.739721343</c:v>
                </c:pt>
                <c:pt idx="5">
                  <c:v>141688013.69862178</c:v>
                </c:pt>
                <c:pt idx="6">
                  <c:v>144862671.232869</c:v>
                </c:pt>
              </c:numCache>
            </c:numRef>
          </c:val>
          <c:smooth val="0"/>
          <c:extLst>
            <c:ext xmlns:c16="http://schemas.microsoft.com/office/drawing/2014/chart" uri="{C3380CC4-5D6E-409C-BE32-E72D297353CC}">
              <c16:uniqueId val="{00000001-F933-4017-9052-207893A6A7B6}"/>
            </c:ext>
          </c:extLst>
        </c:ser>
        <c:dLbls>
          <c:showLegendKey val="0"/>
          <c:showVal val="0"/>
          <c:showCatName val="0"/>
          <c:showSerName val="0"/>
          <c:showPercent val="0"/>
          <c:showBubbleSize val="0"/>
        </c:dLbls>
        <c:marker val="1"/>
        <c:smooth val="0"/>
        <c:axId val="604487256"/>
        <c:axId val="604475888"/>
      </c:lineChart>
      <c:dateAx>
        <c:axId val="60448725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75888"/>
        <c:crosses val="autoZero"/>
        <c:auto val="0"/>
        <c:lblOffset val="50"/>
        <c:baseTimeUnit val="months"/>
        <c:majorUnit val="6"/>
        <c:majorTimeUnit val="months"/>
      </c:dateAx>
      <c:valAx>
        <c:axId val="6044758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725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1CD6-427F-8C9C-ABD52F7A60A6}"/>
            </c:ext>
          </c:extLst>
        </c:ser>
        <c:dLbls>
          <c:showLegendKey val="0"/>
          <c:showVal val="0"/>
          <c:showCatName val="0"/>
          <c:showSerName val="0"/>
          <c:showPercent val="0"/>
          <c:showBubbleSize val="0"/>
        </c:dLbls>
        <c:gapWidth val="0"/>
        <c:axId val="604480200"/>
        <c:axId val="604480592"/>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1CD6-427F-8C9C-ABD52F7A60A6}"/>
            </c:ext>
          </c:extLst>
        </c:ser>
        <c:dLbls>
          <c:showLegendKey val="0"/>
          <c:showVal val="0"/>
          <c:showCatName val="0"/>
          <c:showSerName val="0"/>
          <c:showPercent val="0"/>
          <c:showBubbleSize val="0"/>
        </c:dLbls>
        <c:marker val="1"/>
        <c:smooth val="0"/>
        <c:axId val="604480200"/>
        <c:axId val="604480592"/>
      </c:lineChart>
      <c:dateAx>
        <c:axId val="6044802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0592"/>
        <c:crosses val="autoZero"/>
        <c:auto val="0"/>
        <c:lblOffset val="50"/>
        <c:baseTimeUnit val="months"/>
        <c:majorUnit val="6"/>
        <c:majorTimeUnit val="months"/>
      </c:dateAx>
      <c:valAx>
        <c:axId val="6044805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80200"/>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4E64-4A4B-BDD0-045721537A06}"/>
            </c:ext>
          </c:extLst>
        </c:ser>
        <c:dLbls>
          <c:showLegendKey val="0"/>
          <c:showVal val="0"/>
          <c:showCatName val="0"/>
          <c:showSerName val="0"/>
          <c:showPercent val="0"/>
          <c:showBubbleSize val="0"/>
        </c:dLbls>
        <c:gapWidth val="0"/>
        <c:axId val="600084584"/>
        <c:axId val="600083408"/>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4E64-4A4B-BDD0-045721537A06}"/>
            </c:ext>
          </c:extLst>
        </c:ser>
        <c:dLbls>
          <c:showLegendKey val="0"/>
          <c:showVal val="0"/>
          <c:showCatName val="0"/>
          <c:showSerName val="0"/>
          <c:showPercent val="0"/>
          <c:showBubbleSize val="0"/>
        </c:dLbls>
        <c:marker val="1"/>
        <c:smooth val="0"/>
        <c:axId val="600084584"/>
        <c:axId val="600083408"/>
      </c:lineChart>
      <c:dateAx>
        <c:axId val="6000845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408"/>
        <c:crosses val="autoZero"/>
        <c:auto val="0"/>
        <c:lblOffset val="50"/>
        <c:baseTimeUnit val="months"/>
        <c:majorUnit val="6"/>
        <c:majorTimeUnit val="months"/>
      </c:dateAx>
      <c:valAx>
        <c:axId val="6000834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4584"/>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0A94-4330-9D8C-02A9992486B7}"/>
            </c:ext>
          </c:extLst>
        </c:ser>
        <c:dLbls>
          <c:showLegendKey val="0"/>
          <c:showVal val="0"/>
          <c:showCatName val="0"/>
          <c:showSerName val="0"/>
          <c:showPercent val="0"/>
          <c:showBubbleSize val="0"/>
        </c:dLbls>
        <c:gapWidth val="0"/>
        <c:axId val="600086544"/>
        <c:axId val="60008380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0A94-4330-9D8C-02A9992486B7}"/>
            </c:ext>
          </c:extLst>
        </c:ser>
        <c:dLbls>
          <c:showLegendKey val="0"/>
          <c:showVal val="0"/>
          <c:showCatName val="0"/>
          <c:showSerName val="0"/>
          <c:showPercent val="0"/>
          <c:showBubbleSize val="0"/>
        </c:dLbls>
        <c:marker val="1"/>
        <c:smooth val="0"/>
        <c:axId val="600086544"/>
        <c:axId val="600083800"/>
      </c:lineChart>
      <c:dateAx>
        <c:axId val="60008654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3800"/>
        <c:crosses val="autoZero"/>
        <c:auto val="0"/>
        <c:lblOffset val="50"/>
        <c:baseTimeUnit val="months"/>
        <c:majorUnit val="6"/>
        <c:majorTimeUnit val="months"/>
      </c:dateAx>
      <c:valAx>
        <c:axId val="60008380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544"/>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F566-43A3-BC2A-36094AECED09}"/>
            </c:ext>
          </c:extLst>
        </c:ser>
        <c:dLbls>
          <c:showLegendKey val="0"/>
          <c:showVal val="0"/>
          <c:showCatName val="0"/>
          <c:showSerName val="0"/>
          <c:showPercent val="0"/>
          <c:showBubbleSize val="0"/>
        </c:dLbls>
        <c:gapWidth val="0"/>
        <c:axId val="600077528"/>
        <c:axId val="6000759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F566-43A3-BC2A-36094AECED09}"/>
            </c:ext>
          </c:extLst>
        </c:ser>
        <c:dLbls>
          <c:showLegendKey val="0"/>
          <c:showVal val="0"/>
          <c:showCatName val="0"/>
          <c:showSerName val="0"/>
          <c:showPercent val="0"/>
          <c:showBubbleSize val="0"/>
        </c:dLbls>
        <c:marker val="1"/>
        <c:smooth val="0"/>
        <c:axId val="600077528"/>
        <c:axId val="600075960"/>
      </c:lineChart>
      <c:dateAx>
        <c:axId val="6000775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5960"/>
        <c:crosses val="autoZero"/>
        <c:auto val="0"/>
        <c:lblOffset val="50"/>
        <c:baseTimeUnit val="months"/>
        <c:majorUnit val="6"/>
        <c:majorTimeUnit val="months"/>
      </c:dateAx>
      <c:valAx>
        <c:axId val="6000759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52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13660540538091E-2"/>
          <c:y val="3.3032232701084317E-2"/>
          <c:w val="0.96977267891892383"/>
          <c:h val="0.827611697762577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1-82C1-4F5F-953E-5AA7B5003502}"/>
              </c:ext>
            </c:extLst>
          </c:dPt>
          <c:dPt>
            <c:idx val="1"/>
            <c:invertIfNegative val="0"/>
            <c:bubble3D val="0"/>
            <c:spPr>
              <a:solidFill>
                <a:srgbClr val="00CC99"/>
              </a:solidFill>
              <a:ln>
                <a:solidFill>
                  <a:srgbClr val="00CC99"/>
                </a:solidFill>
              </a:ln>
              <a:effectLst/>
            </c:spPr>
            <c:extLst>
              <c:ext xmlns:c16="http://schemas.microsoft.com/office/drawing/2014/chart" uri="{C3380CC4-5D6E-409C-BE32-E72D297353CC}">
                <c16:uniqueId val="{00000003-82C1-4F5F-953E-5AA7B5003502}"/>
              </c:ext>
            </c:extLst>
          </c:dPt>
          <c:dPt>
            <c:idx val="3"/>
            <c:invertIfNegative val="0"/>
            <c:bubble3D val="0"/>
            <c:spPr>
              <a:solidFill>
                <a:srgbClr val="00CC99"/>
              </a:solidFill>
              <a:ln>
                <a:solidFill>
                  <a:srgbClr val="00CC99"/>
                </a:solidFill>
              </a:ln>
              <a:effectLst/>
            </c:spPr>
            <c:extLst>
              <c:ext xmlns:c16="http://schemas.microsoft.com/office/drawing/2014/chart" uri="{C3380CC4-5D6E-409C-BE32-E72D297353CC}">
                <c16:uniqueId val="{00000005-82C1-4F5F-953E-5AA7B500350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Total</c:v>
              </c:pt>
              <c:pt idx="1">
                <c:v>Individualizadas</c:v>
              </c:pt>
              <c:pt idx="2">
                <c:v>Suspendidas</c:v>
              </c:pt>
              <c:pt idx="3">
                <c:v>Rueda Reducida</c:v>
              </c:pt>
            </c:strLit>
          </c:cat>
          <c:val>
            <c:numRef>
              <c:f>'Reporte - Oscuro'!$M$64:$M$67</c:f>
              <c:numCache>
                <c:formatCode>General</c:formatCode>
                <c:ptCount val="4"/>
                <c:pt idx="0" formatCode="0">
                  <c:v>7</c:v>
                </c:pt>
                <c:pt idx="1">
                  <c:v>1</c:v>
                </c:pt>
                <c:pt idx="2">
                  <c:v>1</c:v>
                </c:pt>
                <c:pt idx="3">
                  <c:v>0</c:v>
                </c:pt>
              </c:numCache>
            </c:numRef>
          </c:val>
          <c:extLst>
            <c:ext xmlns:c16="http://schemas.microsoft.com/office/drawing/2014/chart" uri="{C3380CC4-5D6E-409C-BE32-E72D297353CC}">
              <c16:uniqueId val="{00000006-82C1-4F5F-953E-5AA7B5003502}"/>
            </c:ext>
          </c:extLst>
        </c:ser>
        <c:dLbls>
          <c:dLblPos val="outEnd"/>
          <c:showLegendKey val="0"/>
          <c:showVal val="1"/>
          <c:showCatName val="0"/>
          <c:showSerName val="0"/>
          <c:showPercent val="0"/>
          <c:showBubbleSize val="0"/>
        </c:dLbls>
        <c:gapWidth val="150"/>
        <c:overlap val="-27"/>
        <c:axId val="600730384"/>
        <c:axId val="600730776"/>
      </c:barChart>
      <c:catAx>
        <c:axId val="60073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j-lt"/>
                <a:ea typeface="+mn-ea"/>
                <a:cs typeface="+mn-cs"/>
              </a:defRPr>
            </a:pPr>
            <a:endParaRPr lang="es-AR"/>
          </a:p>
        </c:txPr>
        <c:crossAx val="600730776"/>
        <c:crosses val="autoZero"/>
        <c:auto val="1"/>
        <c:lblAlgn val="ctr"/>
        <c:lblOffset val="100"/>
        <c:noMultiLvlLbl val="0"/>
      </c:catAx>
      <c:valAx>
        <c:axId val="600730776"/>
        <c:scaling>
          <c:orientation val="minMax"/>
        </c:scaling>
        <c:delete val="1"/>
        <c:axPos val="l"/>
        <c:numFmt formatCode="0" sourceLinked="1"/>
        <c:majorTickMark val="none"/>
        <c:minorTickMark val="none"/>
        <c:tickLblPos val="nextTo"/>
        <c:crossAx val="6007303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65052793919178"/>
          <c:y val="3.9518965835253377E-2"/>
          <c:w val="0.66840546485540819"/>
          <c:h val="0.81749389594475175"/>
        </c:manualLayout>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685C-4100-9F73-B6A4AB040C3F}"/>
            </c:ext>
          </c:extLst>
        </c:ser>
        <c:dLbls>
          <c:showLegendKey val="0"/>
          <c:showVal val="0"/>
          <c:showCatName val="0"/>
          <c:showSerName val="0"/>
          <c:showPercent val="0"/>
          <c:showBubbleSize val="0"/>
        </c:dLbls>
        <c:gapWidth val="0"/>
        <c:axId val="600078312"/>
        <c:axId val="600079880"/>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85C-4100-9F73-B6A4AB040C3F}"/>
            </c:ext>
          </c:extLst>
        </c:ser>
        <c:dLbls>
          <c:showLegendKey val="0"/>
          <c:showVal val="0"/>
          <c:showCatName val="0"/>
          <c:showSerName val="0"/>
          <c:showPercent val="0"/>
          <c:showBubbleSize val="0"/>
        </c:dLbls>
        <c:marker val="1"/>
        <c:smooth val="0"/>
        <c:axId val="600078312"/>
        <c:axId val="600079880"/>
      </c:lineChart>
      <c:dateAx>
        <c:axId val="6000783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9880"/>
        <c:crosses val="autoZero"/>
        <c:auto val="0"/>
        <c:lblOffset val="50"/>
        <c:baseTimeUnit val="months"/>
        <c:majorUnit val="6"/>
        <c:majorTimeUnit val="months"/>
      </c:dateAx>
      <c:valAx>
        <c:axId val="60007988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31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04D8-4EA4-8437-13047F722991}"/>
            </c:ext>
          </c:extLst>
        </c:ser>
        <c:dLbls>
          <c:showLegendKey val="0"/>
          <c:showVal val="0"/>
          <c:showCatName val="0"/>
          <c:showSerName val="0"/>
          <c:showPercent val="0"/>
          <c:showBubbleSize val="0"/>
        </c:dLbls>
        <c:gapWidth val="0"/>
        <c:axId val="600086152"/>
        <c:axId val="600084192"/>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04D8-4EA4-8437-13047F722991}"/>
            </c:ext>
          </c:extLst>
        </c:ser>
        <c:dLbls>
          <c:showLegendKey val="0"/>
          <c:showVal val="0"/>
          <c:showCatName val="0"/>
          <c:showSerName val="0"/>
          <c:showPercent val="0"/>
          <c:showBubbleSize val="0"/>
        </c:dLbls>
        <c:marker val="1"/>
        <c:smooth val="0"/>
        <c:axId val="600086152"/>
        <c:axId val="600084192"/>
      </c:lineChart>
      <c:dateAx>
        <c:axId val="60008615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192"/>
        <c:crosses val="autoZero"/>
        <c:auto val="0"/>
        <c:lblOffset val="50"/>
        <c:baseTimeUnit val="months"/>
        <c:majorUnit val="6"/>
        <c:majorTimeUnit val="months"/>
      </c:dateAx>
      <c:valAx>
        <c:axId val="6000841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6152"/>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851E-4C96-A296-732233954B13}"/>
            </c:ext>
          </c:extLst>
        </c:ser>
        <c:dLbls>
          <c:showLegendKey val="0"/>
          <c:showVal val="0"/>
          <c:showCatName val="0"/>
          <c:showSerName val="0"/>
          <c:showPercent val="0"/>
          <c:showBubbleSize val="0"/>
        </c:dLbls>
        <c:gapWidth val="0"/>
        <c:axId val="600077136"/>
        <c:axId val="600084976"/>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851E-4C96-A296-732233954B13}"/>
            </c:ext>
          </c:extLst>
        </c:ser>
        <c:dLbls>
          <c:showLegendKey val="0"/>
          <c:showVal val="0"/>
          <c:showCatName val="0"/>
          <c:showSerName val="0"/>
          <c:showPercent val="0"/>
          <c:showBubbleSize val="0"/>
        </c:dLbls>
        <c:marker val="1"/>
        <c:smooth val="0"/>
        <c:axId val="600077136"/>
        <c:axId val="600084976"/>
      </c:lineChart>
      <c:dateAx>
        <c:axId val="60007713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4976"/>
        <c:crosses val="autoZero"/>
        <c:auto val="0"/>
        <c:lblOffset val="50"/>
        <c:baseTimeUnit val="months"/>
        <c:majorUnit val="6"/>
        <c:majorTimeUnit val="months"/>
      </c:dateAx>
      <c:valAx>
        <c:axId val="6000849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7136"/>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362F-4720-9CFF-00FBAF7A12EA}"/>
            </c:ext>
          </c:extLst>
        </c:ser>
        <c:dLbls>
          <c:showLegendKey val="0"/>
          <c:showVal val="0"/>
          <c:showCatName val="0"/>
          <c:showSerName val="0"/>
          <c:showPercent val="0"/>
          <c:showBubbleSize val="0"/>
        </c:dLbls>
        <c:gapWidth val="0"/>
        <c:axId val="600085760"/>
        <c:axId val="60007792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362F-4720-9CFF-00FBAF7A12EA}"/>
            </c:ext>
          </c:extLst>
        </c:ser>
        <c:dLbls>
          <c:showLegendKey val="0"/>
          <c:showVal val="0"/>
          <c:showCatName val="0"/>
          <c:showSerName val="0"/>
          <c:showPercent val="0"/>
          <c:showBubbleSize val="0"/>
        </c:dLbls>
        <c:marker val="1"/>
        <c:smooth val="0"/>
        <c:axId val="600085760"/>
        <c:axId val="600077920"/>
      </c:lineChart>
      <c:dateAx>
        <c:axId val="60008576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77920"/>
        <c:crosses val="autoZero"/>
        <c:auto val="0"/>
        <c:lblOffset val="50"/>
        <c:baseTimeUnit val="months"/>
        <c:majorUnit val="6"/>
        <c:majorTimeUnit val="months"/>
      </c:dateAx>
      <c:valAx>
        <c:axId val="6000779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760"/>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 de Fondos</c:v>
          </c:tx>
          <c:spPr>
            <a:solidFill>
              <a:schemeClr val="accent5">
                <a:lumMod val="75000"/>
              </a:schemeClr>
            </a:solidFill>
            <a:ln>
              <a:solidFill>
                <a:schemeClr val="accent5">
                  <a:lumMod val="75000"/>
                </a:schemeClr>
              </a:solidFill>
            </a:ln>
            <a:effectLst/>
          </c:spPr>
          <c:invertIfNegative val="0"/>
          <c:cat>
            <c:numRef>
              <c:f>ARS!$H$1011:$H$1017</c:f>
              <c:numCache>
                <c:formatCode>dd/mm/yyyy;@</c:formatCode>
                <c:ptCount val="7"/>
                <c:pt idx="0">
                  <c:v>44846</c:v>
                </c:pt>
                <c:pt idx="1">
                  <c:v>44938</c:v>
                </c:pt>
                <c:pt idx="2">
                  <c:v>45028</c:v>
                </c:pt>
                <c:pt idx="3">
                  <c:v>45119</c:v>
                </c:pt>
                <c:pt idx="4">
                  <c:v>45211</c:v>
                </c:pt>
                <c:pt idx="5">
                  <c:v>45303</c:v>
                </c:pt>
                <c:pt idx="6">
                  <c:v>45394</c:v>
                </c:pt>
              </c:numCache>
            </c:numRef>
          </c:cat>
          <c:val>
            <c:numRef>
              <c:f>ARS!$M$1011:$M$1017</c:f>
              <c:numCache>
                <c:formatCode>#,##0.00</c:formatCode>
                <c:ptCount val="7"/>
                <c:pt idx="0">
                  <c:v>16787132.380479455</c:v>
                </c:pt>
                <c:pt idx="1">
                  <c:v>15355902.621575344</c:v>
                </c:pt>
                <c:pt idx="2">
                  <c:v>15022078.651541099</c:v>
                </c:pt>
                <c:pt idx="3">
                  <c:v>94010339.598832756</c:v>
                </c:pt>
                <c:pt idx="4">
                  <c:v>10237268.419502197</c:v>
                </c:pt>
                <c:pt idx="5">
                  <c:v>10237268.419502197</c:v>
                </c:pt>
                <c:pt idx="6">
                  <c:v>10125993.762768477</c:v>
                </c:pt>
              </c:numCache>
            </c:numRef>
          </c:val>
          <c:extLst>
            <c:ext xmlns:c16="http://schemas.microsoft.com/office/drawing/2014/chart" uri="{C3380CC4-5D6E-409C-BE32-E72D297353CC}">
              <c16:uniqueId val="{00000000-64F7-4024-9913-BAC778C2FE49}"/>
            </c:ext>
          </c:extLst>
        </c:ser>
        <c:dLbls>
          <c:showLegendKey val="0"/>
          <c:showVal val="0"/>
          <c:showCatName val="0"/>
          <c:showSerName val="0"/>
          <c:showPercent val="0"/>
          <c:showBubbleSize val="0"/>
        </c:dLbls>
        <c:gapWidth val="0"/>
        <c:axId val="623827032"/>
        <c:axId val="623824288"/>
      </c:barChart>
      <c:lineChart>
        <c:grouping val="standard"/>
        <c:varyColors val="0"/>
        <c:ser>
          <c:idx val="1"/>
          <c:order val="1"/>
          <c:tx>
            <c:v>Acumulado</c:v>
          </c:tx>
          <c:spPr>
            <a:ln w="28575" cap="rnd">
              <a:solidFill>
                <a:schemeClr val="accent2"/>
              </a:solidFill>
              <a:round/>
            </a:ln>
            <a:effectLst/>
          </c:spPr>
          <c:marker>
            <c:symbol val="none"/>
          </c:marker>
          <c:val>
            <c:numRef>
              <c:f>ARS!$O$856:$O$862</c:f>
              <c:numCache>
                <c:formatCode>#,##0.00</c:formatCode>
                <c:ptCount val="7"/>
              </c:numCache>
            </c:numRef>
          </c:val>
          <c:smooth val="0"/>
          <c:extLst>
            <c:ext xmlns:c16="http://schemas.microsoft.com/office/drawing/2014/chart" uri="{C3380CC4-5D6E-409C-BE32-E72D297353CC}">
              <c16:uniqueId val="{00000001-64F7-4024-9913-BAC778C2FE49}"/>
            </c:ext>
          </c:extLst>
        </c:ser>
        <c:dLbls>
          <c:showLegendKey val="0"/>
          <c:showVal val="0"/>
          <c:showCatName val="0"/>
          <c:showSerName val="0"/>
          <c:showPercent val="0"/>
          <c:showBubbleSize val="0"/>
        </c:dLbls>
        <c:marker val="1"/>
        <c:smooth val="0"/>
        <c:axId val="623827032"/>
        <c:axId val="623824288"/>
      </c:lineChart>
      <c:dateAx>
        <c:axId val="62382703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3824288"/>
        <c:crosses val="autoZero"/>
        <c:auto val="0"/>
        <c:lblOffset val="50"/>
        <c:baseTimeUnit val="months"/>
        <c:majorUnit val="6"/>
        <c:majorTimeUnit val="months"/>
      </c:dateAx>
      <c:valAx>
        <c:axId val="6238242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3827032"/>
        <c:crosses val="autoZero"/>
        <c:crossBetween val="between"/>
      </c:valAx>
      <c:spPr>
        <a:noFill/>
        <a:ln>
          <a:noFill/>
        </a:ln>
        <a:effectLst/>
      </c:spPr>
    </c:plotArea>
    <c:legend>
      <c:legendPos val="r"/>
      <c:layout>
        <c:manualLayout>
          <c:xMode val="edge"/>
          <c:yMode val="edge"/>
          <c:x val="0.78659235420185358"/>
          <c:y val="5.9646280058765773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1"/>
            </a:solidFill>
            <a:ln>
              <a:noFill/>
            </a:ln>
            <a:effectLst/>
          </c:spPr>
          <c:invertIfNegative val="0"/>
          <c:cat>
            <c:numRef>
              <c:f>ARS!$H$2263:$H$2271</c:f>
              <c:numCache>
                <c:formatCode>dd/mm/yyyy;@</c:formatCode>
                <c:ptCount val="9"/>
                <c:pt idx="0">
                  <c:v>44617</c:v>
                </c:pt>
                <c:pt idx="1">
                  <c:v>44706</c:v>
                </c:pt>
                <c:pt idx="2">
                  <c:v>44798</c:v>
                </c:pt>
                <c:pt idx="3">
                  <c:v>44890</c:v>
                </c:pt>
                <c:pt idx="4">
                  <c:v>44982</c:v>
                </c:pt>
                <c:pt idx="5">
                  <c:v>45071</c:v>
                </c:pt>
                <c:pt idx="6">
                  <c:v>45163</c:v>
                </c:pt>
                <c:pt idx="7">
                  <c:v>45255</c:v>
                </c:pt>
                <c:pt idx="8">
                  <c:v>45347</c:v>
                </c:pt>
              </c:numCache>
            </c:numRef>
          </c:cat>
          <c:val>
            <c:numRef>
              <c:f>ARS!$M$2263:$M$2271</c:f>
              <c:numCache>
                <c:formatCode>#,##0.00</c:formatCode>
                <c:ptCount val="9"/>
                <c:pt idx="0">
                  <c:v>-50000000</c:v>
                </c:pt>
                <c:pt idx="1">
                  <c:v>5771093.75</c:v>
                </c:pt>
                <c:pt idx="2">
                  <c:v>7630729.166666667</c:v>
                </c:pt>
                <c:pt idx="3">
                  <c:v>9192013.8888888899</c:v>
                </c:pt>
                <c:pt idx="4">
                  <c:v>9583333.3333333321</c:v>
                </c:pt>
                <c:pt idx="5">
                  <c:v>10379470.486111112</c:v>
                </c:pt>
                <c:pt idx="6">
                  <c:v>12214756.944444446</c:v>
                </c:pt>
                <c:pt idx="7">
                  <c:v>14886111.111111112</c:v>
                </c:pt>
                <c:pt idx="8">
                  <c:v>65928298.611111112</c:v>
                </c:pt>
              </c:numCache>
            </c:numRef>
          </c:val>
          <c:extLst>
            <c:ext xmlns:c16="http://schemas.microsoft.com/office/drawing/2014/chart" uri="{C3380CC4-5D6E-409C-BE32-E72D297353CC}">
              <c16:uniqueId val="{00000000-2AD8-45BE-A1CE-D9AD1E4058DD}"/>
            </c:ext>
          </c:extLst>
        </c:ser>
        <c:dLbls>
          <c:showLegendKey val="0"/>
          <c:showVal val="0"/>
          <c:showCatName val="0"/>
          <c:showSerName val="0"/>
          <c:showPercent val="0"/>
          <c:showBubbleSize val="0"/>
        </c:dLbls>
        <c:gapWidth val="0"/>
        <c:axId val="604477848"/>
        <c:axId val="604482160"/>
      </c:barChart>
      <c:lineChart>
        <c:grouping val="standard"/>
        <c:varyColors val="0"/>
        <c:ser>
          <c:idx val="1"/>
          <c:order val="1"/>
          <c:tx>
            <c:v>Acumulado</c:v>
          </c:tx>
          <c:spPr>
            <a:ln w="28575" cap="rnd">
              <a:solidFill>
                <a:schemeClr val="accent2"/>
              </a:solidFill>
              <a:round/>
            </a:ln>
            <a:effectLst/>
          </c:spPr>
          <c:marker>
            <c:symbol val="none"/>
          </c:marker>
          <c:val>
            <c:numRef>
              <c:f>ARS!$O$2113:$O$2121</c:f>
              <c:numCache>
                <c:formatCode>#,##0.00</c:formatCode>
                <c:ptCount val="9"/>
                <c:pt idx="0">
                  <c:v>-50000000</c:v>
                </c:pt>
                <c:pt idx="1">
                  <c:v>-44228906.25</c:v>
                </c:pt>
                <c:pt idx="2">
                  <c:v>-36598177.083333336</c:v>
                </c:pt>
                <c:pt idx="3">
                  <c:v>-27406163.194444448</c:v>
                </c:pt>
                <c:pt idx="4">
                  <c:v>-17822829.861111116</c:v>
                </c:pt>
                <c:pt idx="5">
                  <c:v>-7443359.3750000037</c:v>
                </c:pt>
                <c:pt idx="6">
                  <c:v>4771397.5694444422</c:v>
                </c:pt>
                <c:pt idx="7">
                  <c:v>19657508.680555552</c:v>
                </c:pt>
                <c:pt idx="8">
                  <c:v>85585807.291666657</c:v>
                </c:pt>
              </c:numCache>
            </c:numRef>
          </c:val>
          <c:smooth val="0"/>
          <c:extLst>
            <c:ext xmlns:c16="http://schemas.microsoft.com/office/drawing/2014/chart" uri="{C3380CC4-5D6E-409C-BE32-E72D297353CC}">
              <c16:uniqueId val="{00000001-2AD8-45BE-A1CE-D9AD1E4058DD}"/>
            </c:ext>
          </c:extLst>
        </c:ser>
        <c:dLbls>
          <c:showLegendKey val="0"/>
          <c:showVal val="0"/>
          <c:showCatName val="0"/>
          <c:showSerName val="0"/>
          <c:showPercent val="0"/>
          <c:showBubbleSize val="0"/>
        </c:dLbls>
        <c:marker val="1"/>
        <c:smooth val="0"/>
        <c:axId val="604477848"/>
        <c:axId val="604482160"/>
      </c:lineChart>
      <c:dateAx>
        <c:axId val="60447784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4482160"/>
        <c:crosses val="autoZero"/>
        <c:auto val="0"/>
        <c:lblOffset val="50"/>
        <c:baseTimeUnit val="months"/>
        <c:majorUnit val="6"/>
        <c:majorTimeUnit val="months"/>
      </c:dateAx>
      <c:valAx>
        <c:axId val="60448216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4477848"/>
        <c:crosses val="autoZero"/>
        <c:crossBetween val="between"/>
      </c:valAx>
      <c:spPr>
        <a:noFill/>
        <a:ln>
          <a:noFill/>
        </a:ln>
        <a:effectLst/>
      </c:spPr>
    </c:plotArea>
    <c:legend>
      <c:legendPos val="r"/>
      <c:layout>
        <c:manualLayout>
          <c:xMode val="edge"/>
          <c:yMode val="edge"/>
          <c:x val="0.79560494344068011"/>
          <c:y val="5.9646385110952049E-2"/>
          <c:w val="0.19763561463019999"/>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6740575812197511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USD!$H$52:$H$57</c:f>
              <c:numCache>
                <c:formatCode>dd/mm/yyyy;@</c:formatCode>
                <c:ptCount val="6"/>
                <c:pt idx="0">
                  <c:v>43017</c:v>
                </c:pt>
                <c:pt idx="1">
                  <c:v>43199</c:v>
                </c:pt>
                <c:pt idx="2">
                  <c:v>43382</c:v>
                </c:pt>
                <c:pt idx="3">
                  <c:v>43564</c:v>
                </c:pt>
                <c:pt idx="4">
                  <c:v>43747</c:v>
                </c:pt>
                <c:pt idx="5">
                  <c:v>43930</c:v>
                </c:pt>
              </c:numCache>
            </c:numRef>
          </c:cat>
          <c:val>
            <c:numRef>
              <c:f>USD!$M$52:$M$57</c:f>
              <c:numCache>
                <c:formatCode>#,##0.00</c:formatCode>
                <c:ptCount val="6"/>
                <c:pt idx="0">
                  <c:v>-400000</c:v>
                </c:pt>
                <c:pt idx="1">
                  <c:v>11468.493150684932</c:v>
                </c:pt>
                <c:pt idx="2">
                  <c:v>11531.50684931507</c:v>
                </c:pt>
                <c:pt idx="3">
                  <c:v>11468.493150684932</c:v>
                </c:pt>
                <c:pt idx="4">
                  <c:v>11531.50684931507</c:v>
                </c:pt>
                <c:pt idx="5">
                  <c:v>411531.50684931508</c:v>
                </c:pt>
              </c:numCache>
            </c:numRef>
          </c:val>
          <c:extLst>
            <c:ext xmlns:c16="http://schemas.microsoft.com/office/drawing/2014/chart" uri="{C3380CC4-5D6E-409C-BE32-E72D297353CC}">
              <c16:uniqueId val="{00000000-92AB-40AF-AD9B-D54C31340509}"/>
            </c:ext>
          </c:extLst>
        </c:ser>
        <c:dLbls>
          <c:showLegendKey val="0"/>
          <c:showVal val="0"/>
          <c:showCatName val="0"/>
          <c:showSerName val="0"/>
          <c:showPercent val="0"/>
          <c:showBubbleSize val="0"/>
        </c:dLbls>
        <c:gapWidth val="50"/>
        <c:axId val="600074392"/>
        <c:axId val="600075176"/>
      </c:barChart>
      <c:lineChart>
        <c:grouping val="standard"/>
        <c:varyColors val="0"/>
        <c:ser>
          <c:idx val="1"/>
          <c:order val="1"/>
          <c:tx>
            <c:v>Acumulado</c:v>
          </c:tx>
          <c:spPr>
            <a:ln w="28575" cap="rnd">
              <a:solidFill>
                <a:schemeClr val="accent2"/>
              </a:solidFill>
              <a:round/>
            </a:ln>
            <a:effectLst/>
          </c:spPr>
          <c:marker>
            <c:symbol val="none"/>
          </c:marker>
          <c:val>
            <c:numRef>
              <c:f>USD!$O$52:$O$57</c:f>
              <c:numCache>
                <c:formatCode>#,##0.00</c:formatCode>
                <c:ptCount val="6"/>
                <c:pt idx="0">
                  <c:v>-400000</c:v>
                </c:pt>
                <c:pt idx="1">
                  <c:v>-388531.50684931508</c:v>
                </c:pt>
                <c:pt idx="2">
                  <c:v>-377000</c:v>
                </c:pt>
                <c:pt idx="3">
                  <c:v>-365531.50684931508</c:v>
                </c:pt>
                <c:pt idx="4">
                  <c:v>-354000</c:v>
                </c:pt>
                <c:pt idx="5">
                  <c:v>57531.506849315076</c:v>
                </c:pt>
              </c:numCache>
            </c:numRef>
          </c:val>
          <c:smooth val="0"/>
          <c:extLst>
            <c:ext xmlns:c16="http://schemas.microsoft.com/office/drawing/2014/chart" uri="{C3380CC4-5D6E-409C-BE32-E72D297353CC}">
              <c16:uniqueId val="{00000001-92AB-40AF-AD9B-D54C31340509}"/>
            </c:ext>
          </c:extLst>
        </c:ser>
        <c:dLbls>
          <c:showLegendKey val="0"/>
          <c:showVal val="0"/>
          <c:showCatName val="0"/>
          <c:showSerName val="0"/>
          <c:showPercent val="0"/>
          <c:showBubbleSize val="0"/>
        </c:dLbls>
        <c:marker val="1"/>
        <c:smooth val="0"/>
        <c:axId val="600074392"/>
        <c:axId val="600075176"/>
      </c:lineChart>
      <c:dateAx>
        <c:axId val="60007439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5176"/>
        <c:crosses val="autoZero"/>
        <c:auto val="0"/>
        <c:lblOffset val="50"/>
        <c:baseTimeUnit val="months"/>
        <c:majorUnit val="3"/>
        <c:majorTimeUnit val="months"/>
        <c:minorUnit val="2"/>
        <c:minorTimeUnit val="months"/>
      </c:dateAx>
      <c:valAx>
        <c:axId val="60007517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4392"/>
        <c:crosses val="autoZero"/>
        <c:crossBetween val="between"/>
      </c:valAx>
      <c:spPr>
        <a:noFill/>
        <a:ln>
          <a:noFill/>
        </a:ln>
        <a:effectLst/>
      </c:spPr>
    </c:plotArea>
    <c:legend>
      <c:legendPos val="r"/>
      <c:layout>
        <c:manualLayout>
          <c:xMode val="edge"/>
          <c:yMode val="edge"/>
          <c:x val="0.78767386491051283"/>
          <c:y val="5.9646253838257952E-2"/>
          <c:w val="0.20106039854095406"/>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USD!$H$126:$H$130</c:f>
              <c:numCache>
                <c:formatCode>dd/mm/yyyy;@</c:formatCode>
                <c:ptCount val="5"/>
                <c:pt idx="0">
                  <c:v>45155</c:v>
                </c:pt>
                <c:pt idx="1">
                  <c:v>45339</c:v>
                </c:pt>
                <c:pt idx="2">
                  <c:v>45521</c:v>
                </c:pt>
              </c:numCache>
            </c:numRef>
          </c:cat>
          <c:val>
            <c:numRef>
              <c:f>USD!$M$126:$M$130</c:f>
              <c:numCache>
                <c:formatCode>#,##0.00</c:formatCode>
                <c:ptCount val="5"/>
                <c:pt idx="0">
                  <c:v>150000</c:v>
                </c:pt>
                <c:pt idx="1">
                  <c:v>150000</c:v>
                </c:pt>
                <c:pt idx="2">
                  <c:v>150000</c:v>
                </c:pt>
              </c:numCache>
            </c:numRef>
          </c:val>
          <c:extLst>
            <c:ext xmlns:c16="http://schemas.microsoft.com/office/drawing/2014/chart" uri="{C3380CC4-5D6E-409C-BE32-E72D297353CC}">
              <c16:uniqueId val="{00000000-570D-4D5B-9C0E-42B464BEFDB1}"/>
            </c:ext>
          </c:extLst>
        </c:ser>
        <c:dLbls>
          <c:showLegendKey val="0"/>
          <c:showVal val="0"/>
          <c:showCatName val="0"/>
          <c:showSerName val="0"/>
          <c:showPercent val="0"/>
          <c:showBubbleSize val="0"/>
        </c:dLbls>
        <c:gapWidth val="50"/>
        <c:axId val="600085368"/>
        <c:axId val="600076352"/>
      </c:barChart>
      <c:lineChart>
        <c:grouping val="standard"/>
        <c:varyColors val="0"/>
        <c:ser>
          <c:idx val="1"/>
          <c:order val="1"/>
          <c:tx>
            <c:v>Acumulado</c:v>
          </c:tx>
          <c:spPr>
            <a:ln w="28575" cap="rnd">
              <a:solidFill>
                <a:schemeClr val="accent2"/>
              </a:solidFill>
              <a:round/>
            </a:ln>
            <a:effectLst/>
          </c:spPr>
          <c:marker>
            <c:symbol val="none"/>
          </c:marker>
          <c:val>
            <c:numRef>
              <c:f>USD!$O$126:$O$130</c:f>
              <c:numCache>
                <c:formatCode>#,##0.00</c:formatCode>
                <c:ptCount val="5"/>
                <c:pt idx="0">
                  <c:v>150000</c:v>
                </c:pt>
                <c:pt idx="1">
                  <c:v>300000</c:v>
                </c:pt>
                <c:pt idx="2">
                  <c:v>450000</c:v>
                </c:pt>
                <c:pt idx="3">
                  <c:v>450000</c:v>
                </c:pt>
                <c:pt idx="4">
                  <c:v>450000</c:v>
                </c:pt>
              </c:numCache>
            </c:numRef>
          </c:val>
          <c:smooth val="0"/>
          <c:extLst>
            <c:ext xmlns:c16="http://schemas.microsoft.com/office/drawing/2014/chart" uri="{C3380CC4-5D6E-409C-BE32-E72D297353CC}">
              <c16:uniqueId val="{00000001-570D-4D5B-9C0E-42B464BEFDB1}"/>
            </c:ext>
          </c:extLst>
        </c:ser>
        <c:dLbls>
          <c:showLegendKey val="0"/>
          <c:showVal val="0"/>
          <c:showCatName val="0"/>
          <c:showSerName val="0"/>
          <c:showPercent val="0"/>
          <c:showBubbleSize val="0"/>
        </c:dLbls>
        <c:marker val="1"/>
        <c:smooth val="0"/>
        <c:axId val="600085368"/>
        <c:axId val="600076352"/>
      </c:lineChart>
      <c:dateAx>
        <c:axId val="60008536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6352"/>
        <c:crosses val="autoZero"/>
        <c:auto val="0"/>
        <c:lblOffset val="50"/>
        <c:baseTimeUnit val="months"/>
        <c:majorUnit val="3"/>
        <c:majorTimeUnit val="months"/>
        <c:minorUnit val="2"/>
        <c:minorTimeUnit val="months"/>
      </c:dateAx>
      <c:valAx>
        <c:axId val="600076352"/>
        <c:scaling>
          <c:orientation val="minMax"/>
          <c:max val="600000"/>
          <c:min val="-15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5368"/>
        <c:crosses val="autoZero"/>
        <c:crossBetween val="between"/>
        <c:majorUnit val="300000"/>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USD!$H$160:$H$164</c:f>
              <c:numCache>
                <c:formatCode>dd/mm/yyyy;@</c:formatCode>
                <c:ptCount val="5"/>
                <c:pt idx="0">
                  <c:v>43612</c:v>
                </c:pt>
                <c:pt idx="1">
                  <c:v>43796</c:v>
                </c:pt>
                <c:pt idx="2">
                  <c:v>43978</c:v>
                </c:pt>
                <c:pt idx="3">
                  <c:v>44162</c:v>
                </c:pt>
                <c:pt idx="4">
                  <c:v>44343</c:v>
                </c:pt>
              </c:numCache>
            </c:numRef>
          </c:cat>
          <c:val>
            <c:numRef>
              <c:f>USD!$M$160:$M$164</c:f>
              <c:numCache>
                <c:formatCode>#,##0.00</c:formatCode>
                <c:ptCount val="5"/>
                <c:pt idx="0">
                  <c:v>-200000</c:v>
                </c:pt>
                <c:pt idx="1">
                  <c:v>59073.972602739726</c:v>
                </c:pt>
                <c:pt idx="2">
                  <c:v>56731.506849315068</c:v>
                </c:pt>
                <c:pt idx="3">
                  <c:v>54536.986301369863</c:v>
                </c:pt>
                <c:pt idx="4">
                  <c:v>52231.506849315068</c:v>
                </c:pt>
              </c:numCache>
            </c:numRef>
          </c:val>
          <c:extLst>
            <c:ext xmlns:c16="http://schemas.microsoft.com/office/drawing/2014/chart" uri="{C3380CC4-5D6E-409C-BE32-E72D297353CC}">
              <c16:uniqueId val="{00000000-0D93-4D45-B2A0-24156DCF0C9F}"/>
            </c:ext>
          </c:extLst>
        </c:ser>
        <c:dLbls>
          <c:showLegendKey val="0"/>
          <c:showVal val="0"/>
          <c:showCatName val="0"/>
          <c:showSerName val="0"/>
          <c:showPercent val="0"/>
          <c:showBubbleSize val="0"/>
        </c:dLbls>
        <c:gapWidth val="50"/>
        <c:axId val="600078704"/>
        <c:axId val="600079488"/>
      </c:barChart>
      <c:lineChart>
        <c:grouping val="standard"/>
        <c:varyColors val="0"/>
        <c:ser>
          <c:idx val="1"/>
          <c:order val="1"/>
          <c:tx>
            <c:v>Acumulado</c:v>
          </c:tx>
          <c:spPr>
            <a:ln w="28575" cap="rnd">
              <a:solidFill>
                <a:schemeClr val="accent2"/>
              </a:solidFill>
              <a:round/>
            </a:ln>
            <a:effectLst/>
          </c:spPr>
          <c:marker>
            <c:symbol val="none"/>
          </c:marker>
          <c:val>
            <c:numRef>
              <c:f>USD!$O$160:$O$164</c:f>
              <c:numCache>
                <c:formatCode>#,##0.00</c:formatCode>
                <c:ptCount val="5"/>
                <c:pt idx="0">
                  <c:v>-200000</c:v>
                </c:pt>
                <c:pt idx="1">
                  <c:v>-140926.02739726027</c:v>
                </c:pt>
                <c:pt idx="2">
                  <c:v>-84194.520547945198</c:v>
                </c:pt>
                <c:pt idx="3">
                  <c:v>-29657.534246575335</c:v>
                </c:pt>
                <c:pt idx="4">
                  <c:v>22573.972602739734</c:v>
                </c:pt>
              </c:numCache>
            </c:numRef>
          </c:val>
          <c:smooth val="0"/>
          <c:extLst>
            <c:ext xmlns:c16="http://schemas.microsoft.com/office/drawing/2014/chart" uri="{C3380CC4-5D6E-409C-BE32-E72D297353CC}">
              <c16:uniqueId val="{00000001-0D93-4D45-B2A0-24156DCF0C9F}"/>
            </c:ext>
          </c:extLst>
        </c:ser>
        <c:dLbls>
          <c:showLegendKey val="0"/>
          <c:showVal val="0"/>
          <c:showCatName val="0"/>
          <c:showSerName val="0"/>
          <c:showPercent val="0"/>
          <c:showBubbleSize val="0"/>
        </c:dLbls>
        <c:marker val="1"/>
        <c:smooth val="0"/>
        <c:axId val="600078704"/>
        <c:axId val="600079488"/>
      </c:lineChart>
      <c:dateAx>
        <c:axId val="60007870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79488"/>
        <c:crosses val="autoZero"/>
        <c:auto val="0"/>
        <c:lblOffset val="50"/>
        <c:baseTimeUnit val="months"/>
        <c:majorUnit val="3"/>
        <c:majorTimeUnit val="months"/>
        <c:minorUnit val="2"/>
        <c:minorTimeUnit val="months"/>
      </c:dateAx>
      <c:valAx>
        <c:axId val="60007948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7870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USD!$H$194:$H$206</c:f>
              <c:numCache>
                <c:formatCode>dd/mm/yyyy;@</c:formatCode>
                <c:ptCount val="13"/>
                <c:pt idx="0">
                  <c:v>43186</c:v>
                </c:pt>
                <c:pt idx="1">
                  <c:v>43278</c:v>
                </c:pt>
                <c:pt idx="2">
                  <c:v>43370</c:v>
                </c:pt>
                <c:pt idx="3">
                  <c:v>43461</c:v>
                </c:pt>
                <c:pt idx="4">
                  <c:v>43551</c:v>
                </c:pt>
                <c:pt idx="5">
                  <c:v>43643</c:v>
                </c:pt>
                <c:pt idx="6">
                  <c:v>43735</c:v>
                </c:pt>
                <c:pt idx="7">
                  <c:v>43826</c:v>
                </c:pt>
                <c:pt idx="8">
                  <c:v>43917</c:v>
                </c:pt>
                <c:pt idx="9">
                  <c:v>44011</c:v>
                </c:pt>
                <c:pt idx="10">
                  <c:v>44102</c:v>
                </c:pt>
                <c:pt idx="11">
                  <c:v>44193</c:v>
                </c:pt>
                <c:pt idx="12">
                  <c:v>44284</c:v>
                </c:pt>
              </c:numCache>
            </c:numRef>
          </c:cat>
          <c:val>
            <c:numRef>
              <c:f>USD!$M$194:$M$206</c:f>
              <c:numCache>
                <c:formatCode>#,##0.00</c:formatCode>
                <c:ptCount val="13"/>
                <c:pt idx="0">
                  <c:v>-1000000</c:v>
                </c:pt>
                <c:pt idx="1">
                  <c:v>18273.972602739726</c:v>
                </c:pt>
                <c:pt idx="2">
                  <c:v>18273.972602739726</c:v>
                </c:pt>
                <c:pt idx="3">
                  <c:v>184742.00913242012</c:v>
                </c:pt>
                <c:pt idx="4">
                  <c:v>181563.92694063927</c:v>
                </c:pt>
                <c:pt idx="5">
                  <c:v>12182.64840182648</c:v>
                </c:pt>
                <c:pt idx="6">
                  <c:v>12182.64840182648</c:v>
                </c:pt>
                <c:pt idx="7">
                  <c:v>178716.89497716897</c:v>
                </c:pt>
                <c:pt idx="8">
                  <c:v>175704.3378995434</c:v>
                </c:pt>
                <c:pt idx="9">
                  <c:v>6223.7442922374385</c:v>
                </c:pt>
                <c:pt idx="10">
                  <c:v>6025.1141552511372</c:v>
                </c:pt>
                <c:pt idx="11">
                  <c:v>172691.78082191781</c:v>
                </c:pt>
                <c:pt idx="12">
                  <c:v>169679.22374429225</c:v>
                </c:pt>
              </c:numCache>
            </c:numRef>
          </c:val>
          <c:extLst>
            <c:ext xmlns:c16="http://schemas.microsoft.com/office/drawing/2014/chart" uri="{C3380CC4-5D6E-409C-BE32-E72D297353CC}">
              <c16:uniqueId val="{00000000-822C-40B0-9332-59F9E0A3AECD}"/>
            </c:ext>
          </c:extLst>
        </c:ser>
        <c:dLbls>
          <c:showLegendKey val="0"/>
          <c:showVal val="0"/>
          <c:showCatName val="0"/>
          <c:showSerName val="0"/>
          <c:showPercent val="0"/>
          <c:showBubbleSize val="0"/>
        </c:dLbls>
        <c:gapWidth val="50"/>
        <c:axId val="600080664"/>
        <c:axId val="600083016"/>
      </c:barChart>
      <c:lineChart>
        <c:grouping val="standard"/>
        <c:varyColors val="0"/>
        <c:ser>
          <c:idx val="1"/>
          <c:order val="1"/>
          <c:tx>
            <c:v>Acumulado</c:v>
          </c:tx>
          <c:spPr>
            <a:ln w="28575" cap="rnd">
              <a:solidFill>
                <a:schemeClr val="accent2"/>
              </a:solidFill>
              <a:round/>
            </a:ln>
            <a:effectLst/>
          </c:spPr>
          <c:marker>
            <c:symbol val="none"/>
          </c:marker>
          <c:val>
            <c:numRef>
              <c:f>USD!$O$194:$O$206</c:f>
              <c:numCache>
                <c:formatCode>#,##0.00</c:formatCode>
                <c:ptCount val="13"/>
                <c:pt idx="0">
                  <c:v>-1000000</c:v>
                </c:pt>
                <c:pt idx="1">
                  <c:v>-981726.0273972603</c:v>
                </c:pt>
                <c:pt idx="2">
                  <c:v>-963452.05479452061</c:v>
                </c:pt>
                <c:pt idx="3">
                  <c:v>-778710.04566210043</c:v>
                </c:pt>
                <c:pt idx="4">
                  <c:v>-597146.11872146116</c:v>
                </c:pt>
                <c:pt idx="5">
                  <c:v>-584963.47031963465</c:v>
                </c:pt>
                <c:pt idx="6">
                  <c:v>-572780.82191780815</c:v>
                </c:pt>
                <c:pt idx="7">
                  <c:v>-394063.92694063915</c:v>
                </c:pt>
                <c:pt idx="8">
                  <c:v>-218359.58904109575</c:v>
                </c:pt>
                <c:pt idx="9">
                  <c:v>-212135.8447488583</c:v>
                </c:pt>
                <c:pt idx="10">
                  <c:v>-206110.73059360718</c:v>
                </c:pt>
                <c:pt idx="11">
                  <c:v>-33418.949771689367</c:v>
                </c:pt>
                <c:pt idx="12">
                  <c:v>136260.27397260288</c:v>
                </c:pt>
              </c:numCache>
            </c:numRef>
          </c:val>
          <c:smooth val="0"/>
          <c:extLst>
            <c:ext xmlns:c16="http://schemas.microsoft.com/office/drawing/2014/chart" uri="{C3380CC4-5D6E-409C-BE32-E72D297353CC}">
              <c16:uniqueId val="{00000001-822C-40B0-9332-59F9E0A3AECD}"/>
            </c:ext>
          </c:extLst>
        </c:ser>
        <c:dLbls>
          <c:showLegendKey val="0"/>
          <c:showVal val="0"/>
          <c:showCatName val="0"/>
          <c:showSerName val="0"/>
          <c:showPercent val="0"/>
          <c:showBubbleSize val="0"/>
        </c:dLbls>
        <c:marker val="1"/>
        <c:smooth val="0"/>
        <c:axId val="600080664"/>
        <c:axId val="600083016"/>
      </c:lineChart>
      <c:dateAx>
        <c:axId val="6000806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t" anchorCtr="1"/>
          <a:lstStyle/>
          <a:p>
            <a:pPr>
              <a:defRPr sz="900" b="0" i="0" u="none" strike="noStrike" kern="1200" baseline="0">
                <a:solidFill>
                  <a:schemeClr val="tx1">
                    <a:lumMod val="75000"/>
                    <a:lumOff val="25000"/>
                  </a:schemeClr>
                </a:solidFill>
                <a:latin typeface="+mn-lt"/>
                <a:ea typeface="+mn-ea"/>
                <a:cs typeface="+mn-cs"/>
              </a:defRPr>
            </a:pPr>
            <a:endParaRPr lang="es-AR"/>
          </a:p>
        </c:txPr>
        <c:crossAx val="600083016"/>
        <c:crosses val="autoZero"/>
        <c:auto val="0"/>
        <c:lblOffset val="50"/>
        <c:baseTimeUnit val="months"/>
        <c:majorUnit val="6"/>
        <c:majorTimeUnit val="months"/>
        <c:minorUnit val="2"/>
        <c:minorTimeUnit val="months"/>
      </c:dateAx>
      <c:valAx>
        <c:axId val="60008301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0664"/>
        <c:crosses val="autoZero"/>
        <c:crossBetween val="between"/>
      </c:valAx>
      <c:spPr>
        <a:noFill/>
        <a:ln>
          <a:noFill/>
        </a:ln>
        <a:effectLst/>
      </c:spPr>
    </c:plotArea>
    <c:legend>
      <c:legendPos val="r"/>
      <c:layout>
        <c:manualLayout>
          <c:xMode val="edge"/>
          <c:yMode val="edge"/>
          <c:x val="0.78091442298139291"/>
          <c:y val="5.9646253838257966E-2"/>
          <c:w val="0.20556669316036733"/>
          <c:h val="0.2665857802571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[ONs - Resumen de emisiones -23.07.2025.xlsx]SGR TD!Tabla dinámica1</c:name>
    <c:fmtId val="7"/>
  </c:pivotSource>
  <c:chart>
    <c:autoTitleDeleted val="1"/>
    <c:pivotFmts>
      <c:pivotFmt>
        <c:idx val="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5036889434630014"/>
          <c:y val="3.0781888615394513E-2"/>
          <c:w val="0.62999414425369271"/>
          <c:h val="0.93843622276921101"/>
        </c:manualLayout>
      </c:layout>
      <c:barChart>
        <c:barDir val="bar"/>
        <c:grouping val="clustered"/>
        <c:varyColors val="0"/>
        <c:ser>
          <c:idx val="0"/>
          <c:order val="0"/>
          <c:tx>
            <c:strRef>
              <c:f>'SGR TD'!$C$3</c:f>
              <c:strCache>
                <c:ptCount val="1"/>
                <c:pt idx="0">
                  <c:v>Total</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lumMod val="50000"/>
                      </a:schemeClr>
                    </a:solidFill>
                    <a:latin typeface="+mj-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'SGR TD'!$B$4:$B$20</c:f>
              <c:strCache>
                <c:ptCount val="17"/>
                <c:pt idx="0">
                  <c:v>GARANTIZAR S.G.R.</c:v>
                </c:pt>
                <c:pt idx="1">
                  <c:v>ACINDAR PYMES S.G.R.</c:v>
                </c:pt>
                <c:pt idx="2">
                  <c:v>GARANTIAS BIND S.G.R.</c:v>
                </c:pt>
                <c:pt idx="3">
                  <c:v>PYME AVAL S.G.R.</c:v>
                </c:pt>
                <c:pt idx="4">
                  <c:v>INTERGARANTIAS S.G.R.</c:v>
                </c:pt>
                <c:pt idx="5">
                  <c:v>CARDINAL S.G.R.</c:v>
                </c:pt>
                <c:pt idx="6">
                  <c:v>ARGENPYMES S.G.R.</c:v>
                </c:pt>
                <c:pt idx="7">
                  <c:v>AVAL FEDERAL S.G.R.</c:v>
                </c:pt>
                <c:pt idx="8">
                  <c:v>CUYO AVAL S.G.R.</c:v>
                </c:pt>
                <c:pt idx="9">
                  <c:v>AVALES DEL CENTRO S.G.R.</c:v>
                </c:pt>
                <c:pt idx="10">
                  <c:v>CRECER S.G.R.</c:v>
                </c:pt>
                <c:pt idx="11">
                  <c:v>BLD AVALES S.G.R.</c:v>
                </c:pt>
                <c:pt idx="12">
                  <c:v>BANCO SUPERVIELLE S.A</c:v>
                </c:pt>
                <c:pt idx="13">
                  <c:v>POTENCIAR S.G.R.</c:v>
                </c:pt>
                <c:pt idx="14">
                  <c:v>AVAL AR S.G.R.</c:v>
                </c:pt>
                <c:pt idx="15">
                  <c:v>BANCO DE SERVICIOS Y TRANSACCIONES S.A</c:v>
                </c:pt>
                <c:pt idx="16">
                  <c:v>BANCO MARIVA S.A.</c:v>
                </c:pt>
              </c:strCache>
            </c:strRef>
          </c:cat>
          <c:val>
            <c:numRef>
              <c:f>'SGR TD'!$C$4:$C$20</c:f>
              <c:numCache>
                <c:formatCode>0%</c:formatCode>
                <c:ptCount val="17"/>
                <c:pt idx="0">
                  <c:v>0.40145985401459855</c:v>
                </c:pt>
                <c:pt idx="1">
                  <c:v>0.15328467153284672</c:v>
                </c:pt>
                <c:pt idx="2">
                  <c:v>8.0291970802919707E-2</c:v>
                </c:pt>
                <c:pt idx="3">
                  <c:v>5.8394160583941604E-2</c:v>
                </c:pt>
                <c:pt idx="4">
                  <c:v>5.8394160583941604E-2</c:v>
                </c:pt>
                <c:pt idx="5">
                  <c:v>4.3795620437956206E-2</c:v>
                </c:pt>
                <c:pt idx="6">
                  <c:v>3.6496350364963501E-2</c:v>
                </c:pt>
                <c:pt idx="7">
                  <c:v>2.9197080291970802E-2</c:v>
                </c:pt>
                <c:pt idx="8">
                  <c:v>2.9197080291970802E-2</c:v>
                </c:pt>
                <c:pt idx="9">
                  <c:v>2.1897810218978103E-2</c:v>
                </c:pt>
                <c:pt idx="10">
                  <c:v>2.1897810218978103E-2</c:v>
                </c:pt>
                <c:pt idx="11">
                  <c:v>1.4598540145985401E-2</c:v>
                </c:pt>
                <c:pt idx="12">
                  <c:v>1.4598540145985401E-2</c:v>
                </c:pt>
                <c:pt idx="13">
                  <c:v>1.4598540145985401E-2</c:v>
                </c:pt>
                <c:pt idx="14">
                  <c:v>7.2992700729927005E-3</c:v>
                </c:pt>
                <c:pt idx="15">
                  <c:v>7.2992700729927005E-3</c:v>
                </c:pt>
                <c:pt idx="16">
                  <c:v>7.2992700729927005E-3</c:v>
                </c:pt>
              </c:numCache>
            </c:numRef>
          </c:val>
          <c:extLst>
            <c:ext xmlns:c16="http://schemas.microsoft.com/office/drawing/2014/chart" uri="{C3380CC4-5D6E-409C-BE32-E72D297353CC}">
              <c16:uniqueId val="{00000000-D38E-4D32-9643-32D741FAF8F5}"/>
            </c:ext>
          </c:extLst>
        </c:ser>
        <c:dLbls>
          <c:dLblPos val="outEnd"/>
          <c:showLegendKey val="0"/>
          <c:showVal val="1"/>
          <c:showCatName val="0"/>
          <c:showSerName val="0"/>
          <c:showPercent val="0"/>
          <c:showBubbleSize val="0"/>
        </c:dLbls>
        <c:gapWidth val="80"/>
        <c:axId val="600732344"/>
        <c:axId val="600733520"/>
      </c:barChart>
      <c:catAx>
        <c:axId val="600732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lumMod val="50000"/>
                  </a:schemeClr>
                </a:solidFill>
                <a:latin typeface="+mj-lt"/>
                <a:ea typeface="+mn-ea"/>
                <a:cs typeface="+mn-cs"/>
              </a:defRPr>
            </a:pPr>
            <a:endParaRPr lang="es-AR"/>
          </a:p>
        </c:txPr>
        <c:crossAx val="600733520"/>
        <c:crosses val="autoZero"/>
        <c:auto val="1"/>
        <c:lblAlgn val="ctr"/>
        <c:lblOffset val="100"/>
        <c:noMultiLvlLbl val="0"/>
      </c:catAx>
      <c:valAx>
        <c:axId val="600733520"/>
        <c:scaling>
          <c:orientation val="minMax"/>
        </c:scaling>
        <c:delete val="1"/>
        <c:axPos val="t"/>
        <c:numFmt formatCode="0%" sourceLinked="1"/>
        <c:majorTickMark val="none"/>
        <c:minorTickMark val="none"/>
        <c:tickLblPos val="nextTo"/>
        <c:crossAx val="6007323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A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USD!$H$316:$H$320</c:f>
              <c:numCache>
                <c:formatCode>dd/mm/yyyy;@</c:formatCode>
                <c:ptCount val="5"/>
                <c:pt idx="0">
                  <c:v>43441</c:v>
                </c:pt>
                <c:pt idx="1">
                  <c:v>43623</c:v>
                </c:pt>
                <c:pt idx="2">
                  <c:v>43808</c:v>
                </c:pt>
                <c:pt idx="3">
                  <c:v>43990</c:v>
                </c:pt>
                <c:pt idx="4">
                  <c:v>44172</c:v>
                </c:pt>
              </c:numCache>
            </c:numRef>
          </c:cat>
          <c:val>
            <c:numRef>
              <c:f>USD!$M$316:$M$320</c:f>
              <c:numCache>
                <c:formatCode>#,##0.00</c:formatCode>
                <c:ptCount val="5"/>
                <c:pt idx="0">
                  <c:v>-500000</c:v>
                </c:pt>
                <c:pt idx="1">
                  <c:v>27424.657534246577</c:v>
                </c:pt>
                <c:pt idx="2">
                  <c:v>27876.712328767127</c:v>
                </c:pt>
                <c:pt idx="3">
                  <c:v>27424.657534246577</c:v>
                </c:pt>
                <c:pt idx="4">
                  <c:v>527424.65753424657</c:v>
                </c:pt>
              </c:numCache>
            </c:numRef>
          </c:val>
          <c:extLst>
            <c:ext xmlns:c16="http://schemas.microsoft.com/office/drawing/2014/chart" uri="{C3380CC4-5D6E-409C-BE32-E72D297353CC}">
              <c16:uniqueId val="{00000000-2B26-41B9-8CB1-3010C418D559}"/>
            </c:ext>
          </c:extLst>
        </c:ser>
        <c:dLbls>
          <c:showLegendKey val="0"/>
          <c:showVal val="0"/>
          <c:showCatName val="0"/>
          <c:showSerName val="0"/>
          <c:showPercent val="0"/>
          <c:showBubbleSize val="0"/>
        </c:dLbls>
        <c:gapWidth val="0"/>
        <c:axId val="600089288"/>
        <c:axId val="600089680"/>
      </c:barChart>
      <c:lineChart>
        <c:grouping val="standard"/>
        <c:varyColors val="0"/>
        <c:ser>
          <c:idx val="1"/>
          <c:order val="1"/>
          <c:tx>
            <c:v>Acumulado</c:v>
          </c:tx>
          <c:spPr>
            <a:ln w="28575" cap="rnd">
              <a:solidFill>
                <a:schemeClr val="accent2"/>
              </a:solidFill>
              <a:round/>
            </a:ln>
            <a:effectLst/>
          </c:spPr>
          <c:marker>
            <c:symbol val="none"/>
          </c:marker>
          <c:val>
            <c:numRef>
              <c:f>USD!$O$254:$O$258</c:f>
              <c:numCache>
                <c:formatCode>#,##0.00</c:formatCode>
                <c:ptCount val="5"/>
                <c:pt idx="0">
                  <c:v>-500000</c:v>
                </c:pt>
                <c:pt idx="1">
                  <c:v>-472575.34246575343</c:v>
                </c:pt>
                <c:pt idx="2">
                  <c:v>-444698.63013698632</c:v>
                </c:pt>
                <c:pt idx="3">
                  <c:v>-417273.97260273976</c:v>
                </c:pt>
                <c:pt idx="4">
                  <c:v>110150.68493150681</c:v>
                </c:pt>
              </c:numCache>
            </c:numRef>
          </c:val>
          <c:smooth val="0"/>
          <c:extLst>
            <c:ext xmlns:c16="http://schemas.microsoft.com/office/drawing/2014/chart" uri="{C3380CC4-5D6E-409C-BE32-E72D297353CC}">
              <c16:uniqueId val="{00000001-2B26-41B9-8CB1-3010C418D559}"/>
            </c:ext>
          </c:extLst>
        </c:ser>
        <c:dLbls>
          <c:showLegendKey val="0"/>
          <c:showVal val="0"/>
          <c:showCatName val="0"/>
          <c:showSerName val="0"/>
          <c:showPercent val="0"/>
          <c:showBubbleSize val="0"/>
        </c:dLbls>
        <c:marker val="1"/>
        <c:smooth val="0"/>
        <c:axId val="600089288"/>
        <c:axId val="600089680"/>
      </c:lineChart>
      <c:dateAx>
        <c:axId val="60008928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9680"/>
        <c:crosses val="autoZero"/>
        <c:auto val="0"/>
        <c:lblOffset val="50"/>
        <c:baseTimeUnit val="months"/>
        <c:majorUnit val="6"/>
        <c:majorTimeUnit val="months"/>
      </c:dateAx>
      <c:valAx>
        <c:axId val="600089680"/>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9288"/>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9192503938572458"/>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USD!$H$350:$H$362</c:f>
              <c:numCache>
                <c:formatCode>dd/mm/yyyy;@</c:formatCode>
                <c:ptCount val="13"/>
                <c:pt idx="0">
                  <c:v>43367</c:v>
                </c:pt>
                <c:pt idx="1">
                  <c:v>43458</c:v>
                </c:pt>
                <c:pt idx="2">
                  <c:v>43549</c:v>
                </c:pt>
                <c:pt idx="3">
                  <c:v>43640</c:v>
                </c:pt>
                <c:pt idx="4">
                  <c:v>43732</c:v>
                </c:pt>
                <c:pt idx="5">
                  <c:v>43823</c:v>
                </c:pt>
                <c:pt idx="6">
                  <c:v>43914</c:v>
                </c:pt>
                <c:pt idx="7">
                  <c:v>44006</c:v>
                </c:pt>
                <c:pt idx="8">
                  <c:v>44098</c:v>
                </c:pt>
                <c:pt idx="9">
                  <c:v>44189</c:v>
                </c:pt>
                <c:pt idx="10">
                  <c:v>44279</c:v>
                </c:pt>
                <c:pt idx="11">
                  <c:v>44371</c:v>
                </c:pt>
                <c:pt idx="12">
                  <c:v>44463</c:v>
                </c:pt>
              </c:numCache>
            </c:numRef>
          </c:cat>
          <c:val>
            <c:numRef>
              <c:f>USD!$M$350:$M$362</c:f>
              <c:numCache>
                <c:formatCode>#,##0.00</c:formatCode>
                <c:ptCount val="13"/>
                <c:pt idx="0">
                  <c:v>-100000</c:v>
                </c:pt>
                <c:pt idx="1">
                  <c:v>10577.168949771691</c:v>
                </c:pt>
                <c:pt idx="2">
                  <c:v>10390.182648401827</c:v>
                </c:pt>
                <c:pt idx="3">
                  <c:v>10203.196347031964</c:v>
                </c:pt>
                <c:pt idx="4">
                  <c:v>10034.703196347033</c:v>
                </c:pt>
                <c:pt idx="5">
                  <c:v>9829.2237442922378</c:v>
                </c:pt>
                <c:pt idx="6">
                  <c:v>9642.2374429223746</c:v>
                </c:pt>
                <c:pt idx="7">
                  <c:v>9467.5799086757997</c:v>
                </c:pt>
                <c:pt idx="8">
                  <c:v>9278.5388127853894</c:v>
                </c:pt>
                <c:pt idx="9">
                  <c:v>9081.2785388127868</c:v>
                </c:pt>
                <c:pt idx="10">
                  <c:v>8888.1278538812785</c:v>
                </c:pt>
                <c:pt idx="11">
                  <c:v>8711.4155251141565</c:v>
                </c:pt>
                <c:pt idx="12">
                  <c:v>8522.3744292237443</c:v>
                </c:pt>
              </c:numCache>
            </c:numRef>
          </c:val>
          <c:extLst>
            <c:ext xmlns:c16="http://schemas.microsoft.com/office/drawing/2014/chart" uri="{C3380CC4-5D6E-409C-BE32-E72D297353CC}">
              <c16:uniqueId val="{00000000-4C7F-4089-A583-9C66EDE68419}"/>
            </c:ext>
          </c:extLst>
        </c:ser>
        <c:dLbls>
          <c:showLegendKey val="0"/>
          <c:showVal val="0"/>
          <c:showCatName val="0"/>
          <c:showSerName val="0"/>
          <c:showPercent val="0"/>
          <c:showBubbleSize val="0"/>
        </c:dLbls>
        <c:gapWidth val="0"/>
        <c:axId val="600087328"/>
        <c:axId val="600087720"/>
      </c:barChart>
      <c:lineChart>
        <c:grouping val="standard"/>
        <c:varyColors val="0"/>
        <c:ser>
          <c:idx val="1"/>
          <c:order val="1"/>
          <c:tx>
            <c:v>Acumulado</c:v>
          </c:tx>
          <c:spPr>
            <a:ln w="28575" cap="rnd">
              <a:solidFill>
                <a:schemeClr val="accent2"/>
              </a:solidFill>
              <a:round/>
            </a:ln>
            <a:effectLst/>
          </c:spPr>
          <c:marker>
            <c:symbol val="none"/>
          </c:marker>
          <c:val>
            <c:numRef>
              <c:f>USD!$O$271:$O$283</c:f>
              <c:numCache>
                <c:formatCode>#,##0.00</c:formatCode>
                <c:ptCount val="13"/>
                <c:pt idx="0">
                  <c:v>-100000</c:v>
                </c:pt>
                <c:pt idx="1">
                  <c:v>-89422.831050228313</c:v>
                </c:pt>
                <c:pt idx="2">
                  <c:v>-79032.648401826489</c:v>
                </c:pt>
                <c:pt idx="3">
                  <c:v>-68829.452054794529</c:v>
                </c:pt>
                <c:pt idx="4">
                  <c:v>-58794.748858447492</c:v>
                </c:pt>
                <c:pt idx="5">
                  <c:v>-48965.525114155258</c:v>
                </c:pt>
                <c:pt idx="6">
                  <c:v>-39323.287671232887</c:v>
                </c:pt>
                <c:pt idx="7">
                  <c:v>-29855.707762557089</c:v>
                </c:pt>
                <c:pt idx="8">
                  <c:v>-20577.168949771702</c:v>
                </c:pt>
                <c:pt idx="9">
                  <c:v>-11495.890410958915</c:v>
                </c:pt>
                <c:pt idx="10">
                  <c:v>-2607.7625570776363</c:v>
                </c:pt>
                <c:pt idx="11">
                  <c:v>6103.6529680365202</c:v>
                </c:pt>
                <c:pt idx="12">
                  <c:v>14626.027397260264</c:v>
                </c:pt>
              </c:numCache>
            </c:numRef>
          </c:val>
          <c:smooth val="0"/>
          <c:extLst>
            <c:ext xmlns:c16="http://schemas.microsoft.com/office/drawing/2014/chart" uri="{C3380CC4-5D6E-409C-BE32-E72D297353CC}">
              <c16:uniqueId val="{00000001-4C7F-4089-A583-9C66EDE68419}"/>
            </c:ext>
          </c:extLst>
        </c:ser>
        <c:dLbls>
          <c:showLegendKey val="0"/>
          <c:showVal val="0"/>
          <c:showCatName val="0"/>
          <c:showSerName val="0"/>
          <c:showPercent val="0"/>
          <c:showBubbleSize val="0"/>
        </c:dLbls>
        <c:marker val="1"/>
        <c:smooth val="0"/>
        <c:axId val="600087328"/>
        <c:axId val="600087720"/>
      </c:lineChart>
      <c:dateAx>
        <c:axId val="600087328"/>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7720"/>
        <c:crosses val="autoZero"/>
        <c:auto val="0"/>
        <c:lblOffset val="50"/>
        <c:baseTimeUnit val="months"/>
        <c:majorUnit val="6"/>
        <c:majorTimeUnit val="months"/>
      </c:dateAx>
      <c:valAx>
        <c:axId val="600087720"/>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7328"/>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847665952283"/>
          <c:y val="6.1984486514169407E-2"/>
          <c:w val="0.67615300821777813"/>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USD!$H$392:$H$404</c:f>
              <c:numCache>
                <c:formatCode>dd/mm/yyyy;@</c:formatCode>
                <c:ptCount val="13"/>
                <c:pt idx="0">
                  <c:v>43537</c:v>
                </c:pt>
                <c:pt idx="1">
                  <c:v>43629</c:v>
                </c:pt>
                <c:pt idx="2">
                  <c:v>43721</c:v>
                </c:pt>
                <c:pt idx="3">
                  <c:v>43812</c:v>
                </c:pt>
                <c:pt idx="4">
                  <c:v>43903</c:v>
                </c:pt>
                <c:pt idx="5">
                  <c:v>43997</c:v>
                </c:pt>
                <c:pt idx="6">
                  <c:v>44088</c:v>
                </c:pt>
                <c:pt idx="7">
                  <c:v>44179</c:v>
                </c:pt>
                <c:pt idx="8">
                  <c:v>44270</c:v>
                </c:pt>
                <c:pt idx="9">
                  <c:v>44361</c:v>
                </c:pt>
                <c:pt idx="10">
                  <c:v>44452</c:v>
                </c:pt>
                <c:pt idx="11">
                  <c:v>44543</c:v>
                </c:pt>
                <c:pt idx="12">
                  <c:v>44634</c:v>
                </c:pt>
              </c:numCache>
            </c:numRef>
          </c:cat>
          <c:val>
            <c:numRef>
              <c:f>USD!$M$392:$M$404</c:f>
              <c:numCache>
                <c:formatCode>#,##0.00</c:formatCode>
                <c:ptCount val="13"/>
                <c:pt idx="0">
                  <c:v>-80000</c:v>
                </c:pt>
                <c:pt idx="1">
                  <c:v>8370.5570776255718</c:v>
                </c:pt>
                <c:pt idx="2">
                  <c:v>8228.566210045663</c:v>
                </c:pt>
                <c:pt idx="3">
                  <c:v>8071.1415525114153</c:v>
                </c:pt>
                <c:pt idx="4">
                  <c:v>7930.6940639269405</c:v>
                </c:pt>
                <c:pt idx="5">
                  <c:v>7827.2876712328771</c:v>
                </c:pt>
                <c:pt idx="6">
                  <c:v>7649.7990867579911</c:v>
                </c:pt>
                <c:pt idx="7">
                  <c:v>7509.3515981735163</c:v>
                </c:pt>
                <c:pt idx="8">
                  <c:v>7368.9041095890416</c:v>
                </c:pt>
                <c:pt idx="9">
                  <c:v>7228.4566210045668</c:v>
                </c:pt>
                <c:pt idx="10">
                  <c:v>7088.0091324200912</c:v>
                </c:pt>
                <c:pt idx="11">
                  <c:v>6947.5616438356165</c:v>
                </c:pt>
                <c:pt idx="12">
                  <c:v>6807.1141552511417</c:v>
                </c:pt>
              </c:numCache>
            </c:numRef>
          </c:val>
          <c:extLst>
            <c:ext xmlns:c16="http://schemas.microsoft.com/office/drawing/2014/chart" uri="{C3380CC4-5D6E-409C-BE32-E72D297353CC}">
              <c16:uniqueId val="{00000000-6129-4083-B145-351915E4112D}"/>
            </c:ext>
          </c:extLst>
        </c:ser>
        <c:dLbls>
          <c:showLegendKey val="0"/>
          <c:showVal val="0"/>
          <c:showCatName val="0"/>
          <c:showSerName val="0"/>
          <c:showPercent val="0"/>
          <c:showBubbleSize val="0"/>
        </c:dLbls>
        <c:gapWidth val="0"/>
        <c:axId val="600088112"/>
        <c:axId val="600088896"/>
      </c:barChart>
      <c:lineChart>
        <c:grouping val="standard"/>
        <c:varyColors val="0"/>
        <c:ser>
          <c:idx val="1"/>
          <c:order val="1"/>
          <c:tx>
            <c:v>Acumulado</c:v>
          </c:tx>
          <c:spPr>
            <a:ln w="28575" cap="rnd">
              <a:solidFill>
                <a:schemeClr val="accent2"/>
              </a:solidFill>
              <a:round/>
            </a:ln>
            <a:effectLst/>
          </c:spPr>
          <c:marker>
            <c:symbol val="none"/>
          </c:marker>
          <c:val>
            <c:numRef>
              <c:f>USD!$O$313:$O$325</c:f>
              <c:numCache>
                <c:formatCode>#,##0.00</c:formatCode>
                <c:ptCount val="13"/>
                <c:pt idx="0">
                  <c:v>-80000</c:v>
                </c:pt>
                <c:pt idx="1">
                  <c:v>-71629.442922374423</c:v>
                </c:pt>
                <c:pt idx="2">
                  <c:v>-63400.876712328762</c:v>
                </c:pt>
                <c:pt idx="3">
                  <c:v>-55329.735159817348</c:v>
                </c:pt>
                <c:pt idx="4">
                  <c:v>-47399.04109589041</c:v>
                </c:pt>
                <c:pt idx="5">
                  <c:v>-39571.753424657531</c:v>
                </c:pt>
                <c:pt idx="6">
                  <c:v>-31921.95433789954</c:v>
                </c:pt>
                <c:pt idx="7">
                  <c:v>-24412.602739726026</c:v>
                </c:pt>
                <c:pt idx="8">
                  <c:v>-17043.698630136983</c:v>
                </c:pt>
                <c:pt idx="9">
                  <c:v>-9815.2420091324166</c:v>
                </c:pt>
                <c:pt idx="10">
                  <c:v>-2727.2328767123254</c:v>
                </c:pt>
                <c:pt idx="11">
                  <c:v>4220.3287671232911</c:v>
                </c:pt>
                <c:pt idx="12">
                  <c:v>11027.442922374434</c:v>
                </c:pt>
              </c:numCache>
            </c:numRef>
          </c:val>
          <c:smooth val="0"/>
          <c:extLst>
            <c:ext xmlns:c16="http://schemas.microsoft.com/office/drawing/2014/chart" uri="{C3380CC4-5D6E-409C-BE32-E72D297353CC}">
              <c16:uniqueId val="{00000001-6129-4083-B145-351915E4112D}"/>
            </c:ext>
          </c:extLst>
        </c:ser>
        <c:dLbls>
          <c:showLegendKey val="0"/>
          <c:showVal val="0"/>
          <c:showCatName val="0"/>
          <c:showSerName val="0"/>
          <c:showPercent val="0"/>
          <c:showBubbleSize val="0"/>
        </c:dLbls>
        <c:marker val="1"/>
        <c:smooth val="0"/>
        <c:axId val="600088112"/>
        <c:axId val="600088896"/>
      </c:lineChart>
      <c:dateAx>
        <c:axId val="600088112"/>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00088896"/>
        <c:crosses val="autoZero"/>
        <c:auto val="0"/>
        <c:lblOffset val="50"/>
        <c:baseTimeUnit val="months"/>
        <c:majorUnit val="6"/>
        <c:majorTimeUnit val="months"/>
      </c:dateAx>
      <c:valAx>
        <c:axId val="600088896"/>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00088112"/>
        <c:crosses val="autoZero"/>
        <c:crossBetween val="between"/>
      </c:valAx>
      <c:spPr>
        <a:noFill/>
        <a:ln>
          <a:noFill/>
        </a:ln>
        <a:effectLst/>
      </c:spPr>
    </c:plotArea>
    <c:legend>
      <c:legendPos val="r"/>
      <c:layout>
        <c:manualLayout>
          <c:xMode val="edge"/>
          <c:yMode val="edge"/>
          <c:x val="0.79218015952992604"/>
          <c:y val="4.848041252068868E-2"/>
          <c:w val="0.19430095661183416"/>
          <c:h val="0.24983701828076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USD!$H$434:$H$440</c:f>
              <c:numCache>
                <c:formatCode>dd/mm/yyyy;@</c:formatCode>
                <c:ptCount val="7"/>
                <c:pt idx="0">
                  <c:v>43178</c:v>
                </c:pt>
                <c:pt idx="1">
                  <c:v>43362</c:v>
                </c:pt>
                <c:pt idx="2">
                  <c:v>43543</c:v>
                </c:pt>
                <c:pt idx="3">
                  <c:v>43727</c:v>
                </c:pt>
                <c:pt idx="4">
                  <c:v>43909</c:v>
                </c:pt>
                <c:pt idx="5">
                  <c:v>44095</c:v>
                </c:pt>
                <c:pt idx="6">
                  <c:v>44274</c:v>
                </c:pt>
              </c:numCache>
            </c:numRef>
          </c:cat>
          <c:val>
            <c:numRef>
              <c:f>USD!$M$434:$M$440</c:f>
              <c:numCache>
                <c:formatCode>#,##0.00</c:formatCode>
                <c:ptCount val="7"/>
                <c:pt idx="0">
                  <c:v>-575000</c:v>
                </c:pt>
                <c:pt idx="1">
                  <c:v>86486.301369863024</c:v>
                </c:pt>
                <c:pt idx="2">
                  <c:v>83162.328767123283</c:v>
                </c:pt>
                <c:pt idx="3">
                  <c:v>80689.04109589041</c:v>
                </c:pt>
                <c:pt idx="4">
                  <c:v>77569.863013698632</c:v>
                </c:pt>
                <c:pt idx="5">
                  <c:v>75080.821917808222</c:v>
                </c:pt>
                <c:pt idx="6">
                  <c:v>301599.31506849313</c:v>
                </c:pt>
              </c:numCache>
            </c:numRef>
          </c:val>
          <c:extLst>
            <c:ext xmlns:c16="http://schemas.microsoft.com/office/drawing/2014/chart" uri="{C3380CC4-5D6E-409C-BE32-E72D297353CC}">
              <c16:uniqueId val="{00000000-2F78-496A-B443-CE700DA8349F}"/>
            </c:ext>
          </c:extLst>
        </c:ser>
        <c:dLbls>
          <c:showLegendKey val="0"/>
          <c:showVal val="0"/>
          <c:showCatName val="0"/>
          <c:showSerName val="0"/>
          <c:showPercent val="0"/>
          <c:showBubbleSize val="0"/>
        </c:dLbls>
        <c:gapWidth val="0"/>
        <c:axId val="624768600"/>
        <c:axId val="624772912"/>
      </c:barChart>
      <c:lineChart>
        <c:grouping val="standard"/>
        <c:varyColors val="0"/>
        <c:ser>
          <c:idx val="1"/>
          <c:order val="1"/>
          <c:tx>
            <c:v>Acumulado</c:v>
          </c:tx>
          <c:spPr>
            <a:ln w="28575" cap="rnd">
              <a:solidFill>
                <a:schemeClr val="accent2"/>
              </a:solidFill>
              <a:round/>
            </a:ln>
            <a:effectLst/>
          </c:spPr>
          <c:marker>
            <c:symbol val="none"/>
          </c:marker>
          <c:val>
            <c:numRef>
              <c:f>USD!$O$357:$O$363</c:f>
              <c:numCache>
                <c:formatCode>#,##0.00</c:formatCode>
                <c:ptCount val="7"/>
                <c:pt idx="0">
                  <c:v>-575000</c:v>
                </c:pt>
                <c:pt idx="1">
                  <c:v>-488513.69863013696</c:v>
                </c:pt>
                <c:pt idx="2">
                  <c:v>-405351.36986301368</c:v>
                </c:pt>
                <c:pt idx="3">
                  <c:v>-324662.32876712328</c:v>
                </c:pt>
                <c:pt idx="4">
                  <c:v>-247092.46575342465</c:v>
                </c:pt>
                <c:pt idx="5">
                  <c:v>-172011.64383561641</c:v>
                </c:pt>
                <c:pt idx="6">
                  <c:v>129587.67123287672</c:v>
                </c:pt>
              </c:numCache>
            </c:numRef>
          </c:val>
          <c:smooth val="0"/>
          <c:extLst>
            <c:ext xmlns:c16="http://schemas.microsoft.com/office/drawing/2014/chart" uri="{C3380CC4-5D6E-409C-BE32-E72D297353CC}">
              <c16:uniqueId val="{00000001-2F78-496A-B443-CE700DA8349F}"/>
            </c:ext>
          </c:extLst>
        </c:ser>
        <c:dLbls>
          <c:showLegendKey val="0"/>
          <c:showVal val="0"/>
          <c:showCatName val="0"/>
          <c:showSerName val="0"/>
          <c:showPercent val="0"/>
          <c:showBubbleSize val="0"/>
        </c:dLbls>
        <c:marker val="1"/>
        <c:smooth val="0"/>
        <c:axId val="624768600"/>
        <c:axId val="624772912"/>
      </c:lineChart>
      <c:dateAx>
        <c:axId val="6247686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2912"/>
        <c:crosses val="autoZero"/>
        <c:auto val="0"/>
        <c:lblOffset val="50"/>
        <c:baseTimeUnit val="months"/>
        <c:majorUnit val="6"/>
        <c:majorTimeUnit val="months"/>
      </c:dateAx>
      <c:valAx>
        <c:axId val="62477291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860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USD!$H$472:$H$478</c:f>
              <c:numCache>
                <c:formatCode>dd/mm/yyyy;@</c:formatCode>
                <c:ptCount val="7"/>
                <c:pt idx="0">
                  <c:v>43223</c:v>
                </c:pt>
                <c:pt idx="1">
                  <c:v>43409</c:v>
                </c:pt>
                <c:pt idx="2">
                  <c:v>43588</c:v>
                </c:pt>
                <c:pt idx="3">
                  <c:v>43773</c:v>
                </c:pt>
                <c:pt idx="4">
                  <c:v>43955</c:v>
                </c:pt>
                <c:pt idx="5">
                  <c:v>44138</c:v>
                </c:pt>
                <c:pt idx="6">
                  <c:v>44319</c:v>
                </c:pt>
              </c:numCache>
            </c:numRef>
          </c:cat>
          <c:val>
            <c:numRef>
              <c:f>USD!$M$472:$M$478</c:f>
              <c:numCache>
                <c:formatCode>#,##0.00</c:formatCode>
                <c:ptCount val="7"/>
                <c:pt idx="0">
                  <c:v>-700000</c:v>
                </c:pt>
                <c:pt idx="1">
                  <c:v>26753.424657534248</c:v>
                </c:pt>
                <c:pt idx="2">
                  <c:v>259079.90867579912</c:v>
                </c:pt>
                <c:pt idx="3">
                  <c:v>17739.726027397257</c:v>
                </c:pt>
                <c:pt idx="4">
                  <c:v>250785.38812785392</c:v>
                </c:pt>
                <c:pt idx="5">
                  <c:v>8773.9726027397228</c:v>
                </c:pt>
                <c:pt idx="6">
                  <c:v>242011.41552511419</c:v>
                </c:pt>
              </c:numCache>
            </c:numRef>
          </c:val>
          <c:extLst>
            <c:ext xmlns:c16="http://schemas.microsoft.com/office/drawing/2014/chart" uri="{C3380CC4-5D6E-409C-BE32-E72D297353CC}">
              <c16:uniqueId val="{00000000-E969-49B6-9DD7-206638218357}"/>
            </c:ext>
          </c:extLst>
        </c:ser>
        <c:dLbls>
          <c:showLegendKey val="0"/>
          <c:showVal val="0"/>
          <c:showCatName val="0"/>
          <c:showSerName val="0"/>
          <c:showPercent val="0"/>
          <c:showBubbleSize val="0"/>
        </c:dLbls>
        <c:gapWidth val="0"/>
        <c:axId val="624778400"/>
        <c:axId val="624768208"/>
      </c:barChart>
      <c:lineChart>
        <c:grouping val="standard"/>
        <c:varyColors val="0"/>
        <c:ser>
          <c:idx val="1"/>
          <c:order val="1"/>
          <c:tx>
            <c:v>Acumulado</c:v>
          </c:tx>
          <c:spPr>
            <a:ln w="28575" cap="rnd">
              <a:solidFill>
                <a:schemeClr val="accent2"/>
              </a:solidFill>
              <a:round/>
            </a:ln>
            <a:effectLst/>
          </c:spPr>
          <c:marker>
            <c:symbol val="none"/>
          </c:marker>
          <c:val>
            <c:numRef>
              <c:f>USD!$O$393:$O$399</c:f>
              <c:numCache>
                <c:formatCode>#,##0.00</c:formatCode>
                <c:ptCount val="7"/>
                <c:pt idx="0">
                  <c:v>-700000</c:v>
                </c:pt>
                <c:pt idx="1">
                  <c:v>-673246.57534246577</c:v>
                </c:pt>
                <c:pt idx="2">
                  <c:v>-414166.66666666663</c:v>
                </c:pt>
                <c:pt idx="3">
                  <c:v>-396426.94063926936</c:v>
                </c:pt>
                <c:pt idx="4">
                  <c:v>-145641.55251141544</c:v>
                </c:pt>
                <c:pt idx="5">
                  <c:v>-136867.57990867572</c:v>
                </c:pt>
                <c:pt idx="6">
                  <c:v>105143.83561643847</c:v>
                </c:pt>
              </c:numCache>
            </c:numRef>
          </c:val>
          <c:smooth val="0"/>
          <c:extLst>
            <c:ext xmlns:c16="http://schemas.microsoft.com/office/drawing/2014/chart" uri="{C3380CC4-5D6E-409C-BE32-E72D297353CC}">
              <c16:uniqueId val="{00000001-E969-49B6-9DD7-206638218357}"/>
            </c:ext>
          </c:extLst>
        </c:ser>
        <c:dLbls>
          <c:showLegendKey val="0"/>
          <c:showVal val="0"/>
          <c:showCatName val="0"/>
          <c:showSerName val="0"/>
          <c:showPercent val="0"/>
          <c:showBubbleSize val="0"/>
        </c:dLbls>
        <c:marker val="1"/>
        <c:smooth val="0"/>
        <c:axId val="624778400"/>
        <c:axId val="624768208"/>
      </c:lineChart>
      <c:dateAx>
        <c:axId val="62477840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8208"/>
        <c:crosses val="autoZero"/>
        <c:auto val="0"/>
        <c:lblOffset val="50"/>
        <c:baseTimeUnit val="months"/>
        <c:majorUnit val="6"/>
        <c:majorTimeUnit val="months"/>
      </c:dateAx>
      <c:valAx>
        <c:axId val="624768208"/>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8400"/>
        <c:crosses val="autoZero"/>
        <c:crossBetween val="between"/>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USD!$H$509:$H$515</c:f>
              <c:numCache>
                <c:formatCode>dd/mm/yyyy;@</c:formatCode>
                <c:ptCount val="7"/>
                <c:pt idx="0">
                  <c:v>43223</c:v>
                </c:pt>
                <c:pt idx="1">
                  <c:v>43409</c:v>
                </c:pt>
                <c:pt idx="2">
                  <c:v>43588</c:v>
                </c:pt>
                <c:pt idx="3">
                  <c:v>43773</c:v>
                </c:pt>
                <c:pt idx="4">
                  <c:v>43955</c:v>
                </c:pt>
                <c:pt idx="5">
                  <c:v>44138</c:v>
                </c:pt>
                <c:pt idx="6">
                  <c:v>44319</c:v>
                </c:pt>
              </c:numCache>
            </c:numRef>
          </c:cat>
          <c:val>
            <c:numRef>
              <c:f>USD!$M$509:$M$515</c:f>
              <c:numCache>
                <c:formatCode>#,##0.00</c:formatCode>
                <c:ptCount val="7"/>
                <c:pt idx="0">
                  <c:v>-300000</c:v>
                </c:pt>
                <c:pt idx="1">
                  <c:v>12230.136986301372</c:v>
                </c:pt>
                <c:pt idx="2">
                  <c:v>11769.86301369863</c:v>
                </c:pt>
                <c:pt idx="3">
                  <c:v>12164.383561643837</c:v>
                </c:pt>
                <c:pt idx="4">
                  <c:v>11967.123287671233</c:v>
                </c:pt>
                <c:pt idx="5">
                  <c:v>12032.876712328767</c:v>
                </c:pt>
                <c:pt idx="6">
                  <c:v>11901.369863013699</c:v>
                </c:pt>
              </c:numCache>
            </c:numRef>
          </c:val>
          <c:extLst>
            <c:ext xmlns:c16="http://schemas.microsoft.com/office/drawing/2014/chart" uri="{C3380CC4-5D6E-409C-BE32-E72D297353CC}">
              <c16:uniqueId val="{00000000-2AFC-4813-9D6C-34CA5B655E70}"/>
            </c:ext>
          </c:extLst>
        </c:ser>
        <c:dLbls>
          <c:showLegendKey val="0"/>
          <c:showVal val="0"/>
          <c:showCatName val="0"/>
          <c:showSerName val="0"/>
          <c:showPercent val="0"/>
          <c:showBubbleSize val="0"/>
        </c:dLbls>
        <c:gapWidth val="0"/>
        <c:axId val="624772520"/>
        <c:axId val="624770168"/>
      </c:barChart>
      <c:lineChart>
        <c:grouping val="standard"/>
        <c:varyColors val="0"/>
        <c:ser>
          <c:idx val="1"/>
          <c:order val="1"/>
          <c:tx>
            <c:v>Acumulado</c:v>
          </c:tx>
          <c:spPr>
            <a:ln w="28575" cap="rnd">
              <a:solidFill>
                <a:schemeClr val="accent2"/>
              </a:solidFill>
              <a:round/>
            </a:ln>
            <a:effectLst/>
          </c:spPr>
          <c:marker>
            <c:symbol val="none"/>
          </c:marker>
          <c:val>
            <c:numRef>
              <c:f>USD!$O$430:$O$436</c:f>
              <c:numCache>
                <c:formatCode>#,##0.00</c:formatCode>
                <c:ptCount val="7"/>
                <c:pt idx="0">
                  <c:v>-300000</c:v>
                </c:pt>
                <c:pt idx="1">
                  <c:v>-287769.8630136986</c:v>
                </c:pt>
                <c:pt idx="2">
                  <c:v>-276000</c:v>
                </c:pt>
                <c:pt idx="3">
                  <c:v>-263835.61643835617</c:v>
                </c:pt>
                <c:pt idx="4">
                  <c:v>-251868.49315068492</c:v>
                </c:pt>
                <c:pt idx="5">
                  <c:v>-239835.61643835617</c:v>
                </c:pt>
                <c:pt idx="6">
                  <c:v>-227934.24657534246</c:v>
                </c:pt>
              </c:numCache>
            </c:numRef>
          </c:val>
          <c:smooth val="0"/>
          <c:extLst>
            <c:ext xmlns:c16="http://schemas.microsoft.com/office/drawing/2014/chart" uri="{C3380CC4-5D6E-409C-BE32-E72D297353CC}">
              <c16:uniqueId val="{00000001-2AFC-4813-9D6C-34CA5B655E70}"/>
            </c:ext>
          </c:extLst>
        </c:ser>
        <c:dLbls>
          <c:showLegendKey val="0"/>
          <c:showVal val="0"/>
          <c:showCatName val="0"/>
          <c:showSerName val="0"/>
          <c:showPercent val="0"/>
          <c:showBubbleSize val="0"/>
        </c:dLbls>
        <c:marker val="1"/>
        <c:smooth val="0"/>
        <c:axId val="624772520"/>
        <c:axId val="624770168"/>
      </c:lineChart>
      <c:dateAx>
        <c:axId val="624772520"/>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0168"/>
        <c:crosses val="autoZero"/>
        <c:auto val="0"/>
        <c:lblOffset val="50"/>
        <c:baseTimeUnit val="months"/>
        <c:majorUnit val="6"/>
        <c:majorTimeUnit val="months"/>
      </c:dateAx>
      <c:valAx>
        <c:axId val="624770168"/>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2520"/>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5019799310222E-2"/>
          <c:y val="6.1984486514169407E-2"/>
          <c:w val="0.70785479086535052"/>
          <c:h val="0.87603102697166113"/>
        </c:manualLayout>
      </c:layout>
      <c:barChart>
        <c:barDir val="col"/>
        <c:grouping val="clustered"/>
        <c:varyColors val="0"/>
        <c:ser>
          <c:idx val="0"/>
          <c:order val="0"/>
          <c:tx>
            <c:v>Flujos de Fondos</c:v>
          </c:tx>
          <c:spPr>
            <a:solidFill>
              <a:srgbClr val="009999"/>
            </a:solidFill>
            <a:ln>
              <a:solidFill>
                <a:srgbClr val="009999"/>
              </a:solidFill>
            </a:ln>
            <a:effectLst/>
          </c:spPr>
          <c:invertIfNegative val="0"/>
          <c:cat>
            <c:numRef>
              <c:f>USD!$H$509:$H$519</c:f>
              <c:numCache>
                <c:formatCode>dd/mm/yyyy;@</c:formatCode>
                <c:ptCount val="11"/>
                <c:pt idx="0">
                  <c:v>43223</c:v>
                </c:pt>
                <c:pt idx="1">
                  <c:v>43409</c:v>
                </c:pt>
                <c:pt idx="2">
                  <c:v>43588</c:v>
                </c:pt>
                <c:pt idx="3">
                  <c:v>43773</c:v>
                </c:pt>
                <c:pt idx="4">
                  <c:v>43955</c:v>
                </c:pt>
                <c:pt idx="5">
                  <c:v>44138</c:v>
                </c:pt>
                <c:pt idx="6">
                  <c:v>44319</c:v>
                </c:pt>
                <c:pt idx="7">
                  <c:v>44503</c:v>
                </c:pt>
                <c:pt idx="8">
                  <c:v>44684</c:v>
                </c:pt>
                <c:pt idx="9">
                  <c:v>44868</c:v>
                </c:pt>
                <c:pt idx="10">
                  <c:v>45049</c:v>
                </c:pt>
              </c:numCache>
            </c:numRef>
          </c:cat>
          <c:val>
            <c:numRef>
              <c:f>USD!$M$509:$M$519</c:f>
              <c:numCache>
                <c:formatCode>#,##0.00</c:formatCode>
                <c:ptCount val="11"/>
                <c:pt idx="0">
                  <c:v>-300000</c:v>
                </c:pt>
                <c:pt idx="1">
                  <c:v>12230.136986301372</c:v>
                </c:pt>
                <c:pt idx="2">
                  <c:v>11769.86301369863</c:v>
                </c:pt>
                <c:pt idx="3">
                  <c:v>12164.383561643837</c:v>
                </c:pt>
                <c:pt idx="4">
                  <c:v>11967.123287671233</c:v>
                </c:pt>
                <c:pt idx="5">
                  <c:v>12032.876712328767</c:v>
                </c:pt>
                <c:pt idx="6">
                  <c:v>11901.369863013699</c:v>
                </c:pt>
                <c:pt idx="7">
                  <c:v>12098.630136986301</c:v>
                </c:pt>
                <c:pt idx="8">
                  <c:v>161901.36986301371</c:v>
                </c:pt>
                <c:pt idx="9">
                  <c:v>6049.3150684931506</c:v>
                </c:pt>
                <c:pt idx="10">
                  <c:v>155950.68493150684</c:v>
                </c:pt>
              </c:numCache>
            </c:numRef>
          </c:val>
          <c:extLst>
            <c:ext xmlns:c16="http://schemas.microsoft.com/office/drawing/2014/chart" uri="{C3380CC4-5D6E-409C-BE32-E72D297353CC}">
              <c16:uniqueId val="{00000000-E926-44E7-B363-74476A870569}"/>
            </c:ext>
          </c:extLst>
        </c:ser>
        <c:dLbls>
          <c:showLegendKey val="0"/>
          <c:showVal val="0"/>
          <c:showCatName val="0"/>
          <c:showSerName val="0"/>
          <c:showPercent val="0"/>
          <c:showBubbleSize val="0"/>
        </c:dLbls>
        <c:gapWidth val="0"/>
        <c:axId val="624775264"/>
        <c:axId val="624771736"/>
      </c:barChart>
      <c:lineChart>
        <c:grouping val="standard"/>
        <c:varyColors val="0"/>
        <c:ser>
          <c:idx val="1"/>
          <c:order val="1"/>
          <c:tx>
            <c:v>Acumulado</c:v>
          </c:tx>
          <c:spPr>
            <a:ln w="28575" cap="rnd">
              <a:solidFill>
                <a:schemeClr val="accent2"/>
              </a:solidFill>
              <a:round/>
            </a:ln>
            <a:effectLst/>
          </c:spPr>
          <c:marker>
            <c:symbol val="none"/>
          </c:marker>
          <c:val>
            <c:numRef>
              <c:f>USD!$O$430:$O$440</c:f>
              <c:numCache>
                <c:formatCode>#,##0.00</c:formatCode>
                <c:ptCount val="11"/>
                <c:pt idx="0">
                  <c:v>-300000</c:v>
                </c:pt>
                <c:pt idx="1">
                  <c:v>-287769.8630136986</c:v>
                </c:pt>
                <c:pt idx="2">
                  <c:v>-276000</c:v>
                </c:pt>
                <c:pt idx="3">
                  <c:v>-263835.61643835617</c:v>
                </c:pt>
                <c:pt idx="4">
                  <c:v>-251868.49315068492</c:v>
                </c:pt>
                <c:pt idx="5">
                  <c:v>-239835.61643835617</c:v>
                </c:pt>
                <c:pt idx="6">
                  <c:v>-227934.24657534246</c:v>
                </c:pt>
                <c:pt idx="7">
                  <c:v>-215835.61643835617</c:v>
                </c:pt>
                <c:pt idx="8">
                  <c:v>-53934.246575342462</c:v>
                </c:pt>
                <c:pt idx="9">
                  <c:v>-47884.931506849309</c:v>
                </c:pt>
                <c:pt idx="10">
                  <c:v>108065.75342465754</c:v>
                </c:pt>
              </c:numCache>
            </c:numRef>
          </c:val>
          <c:smooth val="0"/>
          <c:extLst>
            <c:ext xmlns:c16="http://schemas.microsoft.com/office/drawing/2014/chart" uri="{C3380CC4-5D6E-409C-BE32-E72D297353CC}">
              <c16:uniqueId val="{00000001-E926-44E7-B363-74476A870569}"/>
            </c:ext>
          </c:extLst>
        </c:ser>
        <c:dLbls>
          <c:showLegendKey val="0"/>
          <c:showVal val="0"/>
          <c:showCatName val="0"/>
          <c:showSerName val="0"/>
          <c:showPercent val="0"/>
          <c:showBubbleSize val="0"/>
        </c:dLbls>
        <c:marker val="1"/>
        <c:smooth val="0"/>
        <c:axId val="624775264"/>
        <c:axId val="624771736"/>
      </c:lineChart>
      <c:dateAx>
        <c:axId val="62477526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1736"/>
        <c:crosses val="autoZero"/>
        <c:auto val="0"/>
        <c:lblOffset val="50"/>
        <c:baseTimeUnit val="months"/>
        <c:majorUnit val="1"/>
        <c:majorTimeUnit val="years"/>
      </c:dateAx>
      <c:valAx>
        <c:axId val="624771736"/>
        <c:scaling>
          <c:orientation val="minMax"/>
          <c:min val="-3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5264"/>
        <c:crosses val="autoZero"/>
        <c:crossBetween val="between"/>
        <c:majorUnit val="100000"/>
      </c:valAx>
      <c:spPr>
        <a:noFill/>
        <a:ln>
          <a:noFill/>
        </a:ln>
        <a:effectLst/>
      </c:spPr>
    </c:plotArea>
    <c:legend>
      <c:legendPos val="r"/>
      <c:layout>
        <c:manualLayout>
          <c:xMode val="edge"/>
          <c:yMode val="edge"/>
          <c:x val="0.80119274876875257"/>
          <c:y val="4.848041252068868E-2"/>
          <c:w val="0.1920478093021275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BC11-4D51-83DB-DD9D9F80B63B}"/>
            </c:ext>
          </c:extLst>
        </c:ser>
        <c:dLbls>
          <c:showLegendKey val="0"/>
          <c:showVal val="0"/>
          <c:showCatName val="0"/>
          <c:showSerName val="0"/>
          <c:showPercent val="0"/>
          <c:showBubbleSize val="0"/>
        </c:dLbls>
        <c:gapWidth val="0"/>
        <c:axId val="624767424"/>
        <c:axId val="62476703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BC11-4D51-83DB-DD9D9F80B63B}"/>
            </c:ext>
          </c:extLst>
        </c:ser>
        <c:dLbls>
          <c:showLegendKey val="0"/>
          <c:showVal val="0"/>
          <c:showCatName val="0"/>
          <c:showSerName val="0"/>
          <c:showPercent val="0"/>
          <c:showBubbleSize val="0"/>
        </c:dLbls>
        <c:marker val="1"/>
        <c:smooth val="0"/>
        <c:axId val="624767424"/>
        <c:axId val="624767032"/>
      </c:lineChart>
      <c:dateAx>
        <c:axId val="62476742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032"/>
        <c:crosses val="autoZero"/>
        <c:auto val="0"/>
        <c:lblOffset val="50"/>
        <c:baseTimeUnit val="months"/>
        <c:majorUnit val="6"/>
        <c:majorTimeUnit val="months"/>
      </c:dateAx>
      <c:valAx>
        <c:axId val="624767032"/>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6742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rgbClr val="009999"/>
            </a:solidFill>
            <a:ln>
              <a:noFill/>
            </a:ln>
            <a:effectLst/>
          </c:spPr>
          <c:invertIfNegative val="0"/>
          <c:cat>
            <c:numRef>
              <c:f>USD!$H$549:$H$555</c:f>
              <c:numCache>
                <c:formatCode>dd/mm/yyyy;@</c:formatCode>
                <c:ptCount val="7"/>
                <c:pt idx="0">
                  <c:v>43115</c:v>
                </c:pt>
                <c:pt idx="1">
                  <c:v>43297</c:v>
                </c:pt>
                <c:pt idx="2">
                  <c:v>43480</c:v>
                </c:pt>
                <c:pt idx="3">
                  <c:v>43661</c:v>
                </c:pt>
                <c:pt idx="4">
                  <c:v>43845</c:v>
                </c:pt>
                <c:pt idx="5">
                  <c:v>44027</c:v>
                </c:pt>
                <c:pt idx="6">
                  <c:v>44211</c:v>
                </c:pt>
              </c:numCache>
            </c:numRef>
          </c:cat>
          <c:val>
            <c:numRef>
              <c:f>USD!$M$549:$M$555</c:f>
              <c:numCache>
                <c:formatCode>#,##0.00</c:formatCode>
                <c:ptCount val="7"/>
                <c:pt idx="0">
                  <c:v>-550000</c:v>
                </c:pt>
                <c:pt idx="1">
                  <c:v>19471.506849315065</c:v>
                </c:pt>
                <c:pt idx="2">
                  <c:v>19578.493150684932</c:v>
                </c:pt>
                <c:pt idx="3">
                  <c:v>129364.5205479452</c:v>
                </c:pt>
                <c:pt idx="4">
                  <c:v>125748.38356164383</c:v>
                </c:pt>
                <c:pt idx="5">
                  <c:v>176682.90410958903</c:v>
                </c:pt>
                <c:pt idx="6">
                  <c:v>170905.64383561644</c:v>
                </c:pt>
              </c:numCache>
            </c:numRef>
          </c:val>
          <c:extLst>
            <c:ext xmlns:c16="http://schemas.microsoft.com/office/drawing/2014/chart" uri="{C3380CC4-5D6E-409C-BE32-E72D297353CC}">
              <c16:uniqueId val="{00000000-5A36-4444-B4BB-0607AA1C2F67}"/>
            </c:ext>
          </c:extLst>
        </c:ser>
        <c:dLbls>
          <c:showLegendKey val="0"/>
          <c:showVal val="0"/>
          <c:showCatName val="0"/>
          <c:showSerName val="0"/>
          <c:showPercent val="0"/>
          <c:showBubbleSize val="0"/>
        </c:dLbls>
        <c:gapWidth val="0"/>
        <c:axId val="624777616"/>
        <c:axId val="624778792"/>
      </c:barChart>
      <c:lineChart>
        <c:grouping val="standard"/>
        <c:varyColors val="0"/>
        <c:ser>
          <c:idx val="1"/>
          <c:order val="1"/>
          <c:tx>
            <c:v>Acumulado</c:v>
          </c:tx>
          <c:spPr>
            <a:ln w="28575" cap="rnd">
              <a:solidFill>
                <a:schemeClr val="accent2"/>
              </a:solidFill>
              <a:round/>
            </a:ln>
            <a:effectLst/>
          </c:spPr>
          <c:marker>
            <c:symbol val="none"/>
          </c:marker>
          <c:val>
            <c:numRef>
              <c:f>USD!$O$470:$O$476</c:f>
              <c:numCache>
                <c:formatCode>#,##0.00</c:formatCode>
                <c:ptCount val="7"/>
                <c:pt idx="0">
                  <c:v>-550000</c:v>
                </c:pt>
                <c:pt idx="1">
                  <c:v>-530528.49315068498</c:v>
                </c:pt>
                <c:pt idx="2">
                  <c:v>-510950.00000000006</c:v>
                </c:pt>
                <c:pt idx="3">
                  <c:v>-381585.47945205483</c:v>
                </c:pt>
                <c:pt idx="4">
                  <c:v>-255837.095890411</c:v>
                </c:pt>
                <c:pt idx="5">
                  <c:v>-79154.191780821973</c:v>
                </c:pt>
                <c:pt idx="6">
                  <c:v>91751.45205479447</c:v>
                </c:pt>
              </c:numCache>
            </c:numRef>
          </c:val>
          <c:smooth val="0"/>
          <c:extLst>
            <c:ext xmlns:c16="http://schemas.microsoft.com/office/drawing/2014/chart" uri="{C3380CC4-5D6E-409C-BE32-E72D297353CC}">
              <c16:uniqueId val="{00000001-5A36-4444-B4BB-0607AA1C2F67}"/>
            </c:ext>
          </c:extLst>
        </c:ser>
        <c:dLbls>
          <c:showLegendKey val="0"/>
          <c:showVal val="0"/>
          <c:showCatName val="0"/>
          <c:showSerName val="0"/>
          <c:showPercent val="0"/>
          <c:showBubbleSize val="0"/>
        </c:dLbls>
        <c:marker val="1"/>
        <c:smooth val="0"/>
        <c:axId val="624777616"/>
        <c:axId val="624778792"/>
      </c:lineChart>
      <c:dateAx>
        <c:axId val="624777616"/>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78792"/>
        <c:crosses val="autoZero"/>
        <c:auto val="0"/>
        <c:lblOffset val="50"/>
        <c:baseTimeUnit val="months"/>
        <c:majorUnit val="6"/>
        <c:majorTimeUnit val="months"/>
      </c:dateAx>
      <c:valAx>
        <c:axId val="624778792"/>
        <c:scaling>
          <c:orientation val="minMax"/>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7616"/>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Flujos de Fondos</c:v>
          </c:tx>
          <c:spPr>
            <a:solidFill>
              <a:schemeClr val="accent5">
                <a:lumMod val="75000"/>
              </a:schemeClr>
            </a:solidFill>
            <a:ln>
              <a:solidFill>
                <a:schemeClr val="accent5">
                  <a:lumMod val="75000"/>
                </a:schemeClr>
              </a:solidFill>
            </a:ln>
            <a:effectLst/>
          </c:spPr>
          <c:invertIfNegative val="0"/>
          <c:cat>
            <c:numRef>
              <c:f>USD!$H$585:$H$591</c:f>
              <c:numCache>
                <c:formatCode>dd/mm/yyyy;@</c:formatCode>
                <c:ptCount val="7"/>
                <c:pt idx="0">
                  <c:v>43313</c:v>
                </c:pt>
                <c:pt idx="1">
                  <c:v>43497</c:v>
                </c:pt>
                <c:pt idx="2">
                  <c:v>43678</c:v>
                </c:pt>
                <c:pt idx="3">
                  <c:v>43864</c:v>
                </c:pt>
                <c:pt idx="4">
                  <c:v>44046</c:v>
                </c:pt>
                <c:pt idx="5">
                  <c:v>44228</c:v>
                </c:pt>
                <c:pt idx="6">
                  <c:v>44410</c:v>
                </c:pt>
              </c:numCache>
            </c:numRef>
          </c:cat>
          <c:val>
            <c:numRef>
              <c:f>USD!$M$585:$M$591</c:f>
              <c:numCache>
                <c:formatCode>#,##0.00</c:formatCode>
                <c:ptCount val="7"/>
                <c:pt idx="0">
                  <c:v>-200000</c:v>
                </c:pt>
                <c:pt idx="1">
                  <c:v>41903.196347031968</c:v>
                </c:pt>
                <c:pt idx="2">
                  <c:v>40358.447488584476</c:v>
                </c:pt>
                <c:pt idx="3">
                  <c:v>39108.675799086763</c:v>
                </c:pt>
                <c:pt idx="4">
                  <c:v>37571.689497716899</c:v>
                </c:pt>
                <c:pt idx="5">
                  <c:v>36158.904109589042</c:v>
                </c:pt>
                <c:pt idx="6">
                  <c:v>34746.118721461185</c:v>
                </c:pt>
              </c:numCache>
            </c:numRef>
          </c:val>
          <c:extLst>
            <c:ext xmlns:c16="http://schemas.microsoft.com/office/drawing/2014/chart" uri="{C3380CC4-5D6E-409C-BE32-E72D297353CC}">
              <c16:uniqueId val="{00000000-C014-424A-8640-399C057BE4EB}"/>
            </c:ext>
          </c:extLst>
        </c:ser>
        <c:dLbls>
          <c:showLegendKey val="0"/>
          <c:showVal val="0"/>
          <c:showCatName val="0"/>
          <c:showSerName val="0"/>
          <c:showPercent val="0"/>
          <c:showBubbleSize val="0"/>
        </c:dLbls>
        <c:gapWidth val="0"/>
        <c:axId val="624779184"/>
        <c:axId val="624767816"/>
      </c:barChart>
      <c:lineChart>
        <c:grouping val="standard"/>
        <c:varyColors val="0"/>
        <c:ser>
          <c:idx val="1"/>
          <c:order val="1"/>
          <c:tx>
            <c:v>Acumulado</c:v>
          </c:tx>
          <c:spPr>
            <a:ln w="28575" cap="rnd">
              <a:solidFill>
                <a:schemeClr val="accent2"/>
              </a:solidFill>
              <a:round/>
            </a:ln>
            <a:effectLst/>
          </c:spPr>
          <c:marker>
            <c:symbol val="none"/>
          </c:marker>
          <c:val>
            <c:numRef>
              <c:f>USD!$O$506:$O$512</c:f>
              <c:numCache>
                <c:formatCode>#,##0.00</c:formatCode>
                <c:ptCount val="7"/>
                <c:pt idx="0">
                  <c:v>-200000</c:v>
                </c:pt>
                <c:pt idx="1">
                  <c:v>-158096.80365296802</c:v>
                </c:pt>
                <c:pt idx="2">
                  <c:v>-117738.35616438356</c:v>
                </c:pt>
                <c:pt idx="3">
                  <c:v>-78629.680365296794</c:v>
                </c:pt>
                <c:pt idx="4">
                  <c:v>-41057.990867579894</c:v>
                </c:pt>
                <c:pt idx="5">
                  <c:v>-4899.0867579908518</c:v>
                </c:pt>
                <c:pt idx="6">
                  <c:v>29847.031963470334</c:v>
                </c:pt>
              </c:numCache>
            </c:numRef>
          </c:val>
          <c:smooth val="0"/>
          <c:extLst>
            <c:ext xmlns:c16="http://schemas.microsoft.com/office/drawing/2014/chart" uri="{C3380CC4-5D6E-409C-BE32-E72D297353CC}">
              <c16:uniqueId val="{00000001-C014-424A-8640-399C057BE4EB}"/>
            </c:ext>
          </c:extLst>
        </c:ser>
        <c:dLbls>
          <c:showLegendKey val="0"/>
          <c:showVal val="0"/>
          <c:showCatName val="0"/>
          <c:showSerName val="0"/>
          <c:showPercent val="0"/>
          <c:showBubbleSize val="0"/>
        </c:dLbls>
        <c:marker val="1"/>
        <c:smooth val="0"/>
        <c:axId val="624779184"/>
        <c:axId val="624767816"/>
      </c:lineChart>
      <c:dateAx>
        <c:axId val="624779184"/>
        <c:scaling>
          <c:orientation val="minMax"/>
        </c:scaling>
        <c:delete val="0"/>
        <c:axPos val="b"/>
        <c:numFmt formatCode="mmm\-yy" sourceLinked="0"/>
        <c:majorTickMark val="cross"/>
        <c:minorTickMark val="none"/>
        <c:tickLblPos val="nextTo"/>
        <c:spPr>
          <a:noFill/>
          <a:ln w="9525" cap="flat" cmpd="sng" algn="ctr">
            <a:solidFill>
              <a:schemeClr val="tx2">
                <a:lumMod val="75000"/>
              </a:schemeClr>
            </a:solidFill>
            <a:round/>
          </a:ln>
          <a:effectLst/>
        </c:spPr>
        <c:txPr>
          <a:bodyPr rot="0" spcFirstLastPara="1" vertOverflow="ellipsis" wrap="square" anchor="ctr" anchorCtr="0"/>
          <a:lstStyle/>
          <a:p>
            <a:pPr>
              <a:defRPr sz="900" b="0" i="0" u="none" strike="noStrike" kern="1200" baseline="0">
                <a:solidFill>
                  <a:schemeClr val="tx1">
                    <a:lumMod val="75000"/>
                    <a:lumOff val="25000"/>
                  </a:schemeClr>
                </a:solidFill>
                <a:latin typeface="+mn-lt"/>
                <a:ea typeface="+mn-ea"/>
                <a:cs typeface="+mn-cs"/>
              </a:defRPr>
            </a:pPr>
            <a:endParaRPr lang="es-AR"/>
          </a:p>
        </c:txPr>
        <c:crossAx val="624767816"/>
        <c:crosses val="autoZero"/>
        <c:auto val="0"/>
        <c:lblOffset val="50"/>
        <c:baseTimeUnit val="months"/>
        <c:majorUnit val="6"/>
        <c:majorTimeUnit val="months"/>
      </c:dateAx>
      <c:valAx>
        <c:axId val="624767816"/>
        <c:scaling>
          <c:orientation val="minMax"/>
          <c:min val="-600000"/>
        </c:scaling>
        <c:delete val="0"/>
        <c:axPos val="l"/>
        <c:majorGridlines>
          <c:spPr>
            <a:ln w="9525" cap="flat" cmpd="sng" algn="ctr">
              <a:solidFill>
                <a:schemeClr val="bg2">
                  <a:lumMod val="90000"/>
                </a:schemeClr>
              </a:solidFill>
              <a:prstDash val="sysDash"/>
              <a:round/>
            </a:ln>
            <a:effectLst/>
          </c:spPr>
        </c:majorGridlines>
        <c:numFmt formatCode="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AR"/>
          </a:p>
        </c:txPr>
        <c:crossAx val="624779184"/>
        <c:crosses val="autoZero"/>
        <c:crossBetween val="between"/>
        <c:majorUnit val="200000"/>
      </c:valAx>
      <c:spPr>
        <a:noFill/>
        <a:ln>
          <a:noFill/>
        </a:ln>
        <a:effectLst/>
      </c:spPr>
    </c:plotArea>
    <c:legend>
      <c:legendPos val="r"/>
      <c:layout>
        <c:manualLayout>
          <c:xMode val="edge"/>
          <c:yMode val="edge"/>
          <c:x val="0.78542071760080612"/>
          <c:y val="4.8480433832689906E-2"/>
          <c:w val="0.20556669316036733"/>
          <c:h val="0.266585897448296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AR"/>
        </a:p>
      </c:txPr>
    </c:legend>
    <c:plotVisOnly val="1"/>
    <c:dispBlanksAs val="gap"/>
    <c:showDLblsOverMax val="0"/>
  </c:chart>
  <c:spPr>
    <a:solidFill>
      <a:schemeClr val="bg1"/>
    </a:solidFill>
    <a:ln w="9525" cap="flat" cmpd="sng" algn="ctr">
      <a:no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6" Type="http://schemas.openxmlformats.org/officeDocument/2006/relationships/chart" Target="../charts/chart35.xml"/><Relationship Id="rId21" Type="http://schemas.openxmlformats.org/officeDocument/2006/relationships/chart" Target="../charts/chart30.xml"/><Relationship Id="rId42" Type="http://schemas.openxmlformats.org/officeDocument/2006/relationships/chart" Target="../charts/chart51.xml"/><Relationship Id="rId47" Type="http://schemas.openxmlformats.org/officeDocument/2006/relationships/chart" Target="../charts/chart56.xml"/><Relationship Id="rId63" Type="http://schemas.openxmlformats.org/officeDocument/2006/relationships/chart" Target="../charts/chart72.xml"/><Relationship Id="rId68" Type="http://schemas.openxmlformats.org/officeDocument/2006/relationships/chart" Target="../charts/chart77.xml"/><Relationship Id="rId2" Type="http://schemas.openxmlformats.org/officeDocument/2006/relationships/chart" Target="../charts/chart11.xml"/><Relationship Id="rId16" Type="http://schemas.openxmlformats.org/officeDocument/2006/relationships/chart" Target="../charts/chart25.xml"/><Relationship Id="rId29" Type="http://schemas.openxmlformats.org/officeDocument/2006/relationships/chart" Target="../charts/chart38.xml"/><Relationship Id="rId11" Type="http://schemas.openxmlformats.org/officeDocument/2006/relationships/chart" Target="../charts/chart20.xml"/><Relationship Id="rId24" Type="http://schemas.openxmlformats.org/officeDocument/2006/relationships/chart" Target="../charts/chart33.xml"/><Relationship Id="rId32" Type="http://schemas.openxmlformats.org/officeDocument/2006/relationships/chart" Target="../charts/chart41.xml"/><Relationship Id="rId37" Type="http://schemas.openxmlformats.org/officeDocument/2006/relationships/chart" Target="../charts/chart46.xml"/><Relationship Id="rId40" Type="http://schemas.openxmlformats.org/officeDocument/2006/relationships/chart" Target="../charts/chart49.xml"/><Relationship Id="rId45" Type="http://schemas.openxmlformats.org/officeDocument/2006/relationships/chart" Target="../charts/chart54.xml"/><Relationship Id="rId53" Type="http://schemas.openxmlformats.org/officeDocument/2006/relationships/chart" Target="../charts/chart62.xml"/><Relationship Id="rId58" Type="http://schemas.openxmlformats.org/officeDocument/2006/relationships/chart" Target="../charts/chart67.xml"/><Relationship Id="rId66" Type="http://schemas.openxmlformats.org/officeDocument/2006/relationships/chart" Target="../charts/chart75.xml"/><Relationship Id="rId74" Type="http://schemas.openxmlformats.org/officeDocument/2006/relationships/chart" Target="../charts/chart83.xml"/><Relationship Id="rId5" Type="http://schemas.openxmlformats.org/officeDocument/2006/relationships/chart" Target="../charts/chart14.xml"/><Relationship Id="rId61" Type="http://schemas.openxmlformats.org/officeDocument/2006/relationships/chart" Target="../charts/chart70.xml"/><Relationship Id="rId19" Type="http://schemas.openxmlformats.org/officeDocument/2006/relationships/chart" Target="../charts/chart2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 Id="rId35" Type="http://schemas.openxmlformats.org/officeDocument/2006/relationships/chart" Target="../charts/chart44.xml"/><Relationship Id="rId43" Type="http://schemas.openxmlformats.org/officeDocument/2006/relationships/chart" Target="../charts/chart52.xml"/><Relationship Id="rId48" Type="http://schemas.openxmlformats.org/officeDocument/2006/relationships/chart" Target="../charts/chart57.xml"/><Relationship Id="rId56" Type="http://schemas.openxmlformats.org/officeDocument/2006/relationships/chart" Target="../charts/chart65.xml"/><Relationship Id="rId64" Type="http://schemas.openxmlformats.org/officeDocument/2006/relationships/chart" Target="../charts/chart73.xml"/><Relationship Id="rId69" Type="http://schemas.openxmlformats.org/officeDocument/2006/relationships/chart" Target="../charts/chart78.xml"/><Relationship Id="rId8" Type="http://schemas.openxmlformats.org/officeDocument/2006/relationships/chart" Target="../charts/chart17.xml"/><Relationship Id="rId51" Type="http://schemas.openxmlformats.org/officeDocument/2006/relationships/chart" Target="../charts/chart60.xml"/><Relationship Id="rId72" Type="http://schemas.openxmlformats.org/officeDocument/2006/relationships/chart" Target="../charts/chart81.xml"/><Relationship Id="rId3" Type="http://schemas.openxmlformats.org/officeDocument/2006/relationships/chart" Target="../charts/chart12.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33" Type="http://schemas.openxmlformats.org/officeDocument/2006/relationships/chart" Target="../charts/chart42.xml"/><Relationship Id="rId38" Type="http://schemas.openxmlformats.org/officeDocument/2006/relationships/chart" Target="../charts/chart47.xml"/><Relationship Id="rId46" Type="http://schemas.openxmlformats.org/officeDocument/2006/relationships/chart" Target="../charts/chart55.xml"/><Relationship Id="rId59" Type="http://schemas.openxmlformats.org/officeDocument/2006/relationships/chart" Target="../charts/chart68.xml"/><Relationship Id="rId67" Type="http://schemas.openxmlformats.org/officeDocument/2006/relationships/chart" Target="../charts/chart76.xml"/><Relationship Id="rId20" Type="http://schemas.openxmlformats.org/officeDocument/2006/relationships/chart" Target="../charts/chart29.xml"/><Relationship Id="rId41" Type="http://schemas.openxmlformats.org/officeDocument/2006/relationships/chart" Target="../charts/chart50.xml"/><Relationship Id="rId54" Type="http://schemas.openxmlformats.org/officeDocument/2006/relationships/chart" Target="../charts/chart63.xml"/><Relationship Id="rId62" Type="http://schemas.openxmlformats.org/officeDocument/2006/relationships/chart" Target="../charts/chart71.xml"/><Relationship Id="rId70" Type="http://schemas.openxmlformats.org/officeDocument/2006/relationships/chart" Target="../charts/chart79.xml"/><Relationship Id="rId75" Type="http://schemas.openxmlformats.org/officeDocument/2006/relationships/chart" Target="../charts/chart84.xml"/><Relationship Id="rId1" Type="http://schemas.openxmlformats.org/officeDocument/2006/relationships/image" Target="../media/image1.png"/><Relationship Id="rId6" Type="http://schemas.openxmlformats.org/officeDocument/2006/relationships/chart" Target="../charts/chart15.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36" Type="http://schemas.openxmlformats.org/officeDocument/2006/relationships/chart" Target="../charts/chart45.xml"/><Relationship Id="rId49" Type="http://schemas.openxmlformats.org/officeDocument/2006/relationships/chart" Target="../charts/chart58.xml"/><Relationship Id="rId57" Type="http://schemas.openxmlformats.org/officeDocument/2006/relationships/chart" Target="../charts/chart66.xml"/><Relationship Id="rId10" Type="http://schemas.openxmlformats.org/officeDocument/2006/relationships/chart" Target="../charts/chart19.xml"/><Relationship Id="rId31" Type="http://schemas.openxmlformats.org/officeDocument/2006/relationships/chart" Target="../charts/chart40.xml"/><Relationship Id="rId44" Type="http://schemas.openxmlformats.org/officeDocument/2006/relationships/chart" Target="../charts/chart53.xml"/><Relationship Id="rId52" Type="http://schemas.openxmlformats.org/officeDocument/2006/relationships/chart" Target="../charts/chart61.xml"/><Relationship Id="rId60" Type="http://schemas.openxmlformats.org/officeDocument/2006/relationships/chart" Target="../charts/chart69.xml"/><Relationship Id="rId65" Type="http://schemas.openxmlformats.org/officeDocument/2006/relationships/chart" Target="../charts/chart74.xml"/><Relationship Id="rId73" Type="http://schemas.openxmlformats.org/officeDocument/2006/relationships/chart" Target="../charts/chart82.xml"/><Relationship Id="rId4" Type="http://schemas.openxmlformats.org/officeDocument/2006/relationships/chart" Target="../charts/chart13.xml"/><Relationship Id="rId9" Type="http://schemas.openxmlformats.org/officeDocument/2006/relationships/chart" Target="../charts/chart18.xml"/><Relationship Id="rId13" Type="http://schemas.openxmlformats.org/officeDocument/2006/relationships/chart" Target="../charts/chart22.xml"/><Relationship Id="rId18" Type="http://schemas.openxmlformats.org/officeDocument/2006/relationships/chart" Target="../charts/chart27.xml"/><Relationship Id="rId39" Type="http://schemas.openxmlformats.org/officeDocument/2006/relationships/chart" Target="../charts/chart48.xml"/><Relationship Id="rId34" Type="http://schemas.openxmlformats.org/officeDocument/2006/relationships/chart" Target="../charts/chart43.xml"/><Relationship Id="rId50" Type="http://schemas.openxmlformats.org/officeDocument/2006/relationships/chart" Target="../charts/chart59.xml"/><Relationship Id="rId55" Type="http://schemas.openxmlformats.org/officeDocument/2006/relationships/chart" Target="../charts/chart64.xml"/><Relationship Id="rId76" Type="http://schemas.openxmlformats.org/officeDocument/2006/relationships/chart" Target="../charts/chart85.xml"/><Relationship Id="rId7" Type="http://schemas.openxmlformats.org/officeDocument/2006/relationships/chart" Target="../charts/chart16.xml"/><Relationship Id="rId7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chart" Target="../charts/chart110.xml"/><Relationship Id="rId39" Type="http://schemas.openxmlformats.org/officeDocument/2006/relationships/chart" Target="../charts/chart123.xml"/><Relationship Id="rId21" Type="http://schemas.openxmlformats.org/officeDocument/2006/relationships/chart" Target="../charts/chart105.xml"/><Relationship Id="rId34" Type="http://schemas.openxmlformats.org/officeDocument/2006/relationships/chart" Target="../charts/chart118.xml"/><Relationship Id="rId42" Type="http://schemas.openxmlformats.org/officeDocument/2006/relationships/chart" Target="../charts/chart126.xml"/><Relationship Id="rId47" Type="http://schemas.openxmlformats.org/officeDocument/2006/relationships/chart" Target="../charts/chart131.xml"/><Relationship Id="rId50" Type="http://schemas.openxmlformats.org/officeDocument/2006/relationships/chart" Target="../charts/chart134.xml"/><Relationship Id="rId55" Type="http://schemas.openxmlformats.org/officeDocument/2006/relationships/chart" Target="../charts/chart139.xml"/><Relationship Id="rId7" Type="http://schemas.openxmlformats.org/officeDocument/2006/relationships/chart" Target="../charts/chart91.xml"/><Relationship Id="rId2" Type="http://schemas.openxmlformats.org/officeDocument/2006/relationships/chart" Target="../charts/chart86.xml"/><Relationship Id="rId16" Type="http://schemas.openxmlformats.org/officeDocument/2006/relationships/chart" Target="../charts/chart100.xml"/><Relationship Id="rId29" Type="http://schemas.openxmlformats.org/officeDocument/2006/relationships/chart" Target="../charts/chart113.xml"/><Relationship Id="rId11" Type="http://schemas.openxmlformats.org/officeDocument/2006/relationships/chart" Target="../charts/chart95.xml"/><Relationship Id="rId24" Type="http://schemas.openxmlformats.org/officeDocument/2006/relationships/chart" Target="../charts/chart108.xml"/><Relationship Id="rId32" Type="http://schemas.openxmlformats.org/officeDocument/2006/relationships/chart" Target="../charts/chart116.xml"/><Relationship Id="rId37" Type="http://schemas.openxmlformats.org/officeDocument/2006/relationships/chart" Target="../charts/chart121.xml"/><Relationship Id="rId40" Type="http://schemas.openxmlformats.org/officeDocument/2006/relationships/chart" Target="../charts/chart124.xml"/><Relationship Id="rId45" Type="http://schemas.openxmlformats.org/officeDocument/2006/relationships/chart" Target="../charts/chart129.xml"/><Relationship Id="rId53" Type="http://schemas.openxmlformats.org/officeDocument/2006/relationships/chart" Target="../charts/chart137.xml"/><Relationship Id="rId5" Type="http://schemas.openxmlformats.org/officeDocument/2006/relationships/chart" Target="../charts/chart89.xml"/><Relationship Id="rId10" Type="http://schemas.openxmlformats.org/officeDocument/2006/relationships/chart" Target="../charts/chart94.xml"/><Relationship Id="rId19" Type="http://schemas.openxmlformats.org/officeDocument/2006/relationships/chart" Target="../charts/chart103.xml"/><Relationship Id="rId31" Type="http://schemas.openxmlformats.org/officeDocument/2006/relationships/chart" Target="../charts/chart115.xml"/><Relationship Id="rId44" Type="http://schemas.openxmlformats.org/officeDocument/2006/relationships/chart" Target="../charts/chart128.xml"/><Relationship Id="rId52" Type="http://schemas.openxmlformats.org/officeDocument/2006/relationships/chart" Target="../charts/chart136.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1.xml"/><Relationship Id="rId30" Type="http://schemas.openxmlformats.org/officeDocument/2006/relationships/chart" Target="../charts/chart114.xml"/><Relationship Id="rId35" Type="http://schemas.openxmlformats.org/officeDocument/2006/relationships/chart" Target="../charts/chart119.xml"/><Relationship Id="rId43" Type="http://schemas.openxmlformats.org/officeDocument/2006/relationships/chart" Target="../charts/chart127.xml"/><Relationship Id="rId48" Type="http://schemas.openxmlformats.org/officeDocument/2006/relationships/chart" Target="../charts/chart132.xml"/><Relationship Id="rId8" Type="http://schemas.openxmlformats.org/officeDocument/2006/relationships/chart" Target="../charts/chart92.xml"/><Relationship Id="rId51" Type="http://schemas.openxmlformats.org/officeDocument/2006/relationships/chart" Target="../charts/chart135.xml"/><Relationship Id="rId3" Type="http://schemas.openxmlformats.org/officeDocument/2006/relationships/chart" Target="../charts/chart87.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33" Type="http://schemas.openxmlformats.org/officeDocument/2006/relationships/chart" Target="../charts/chart117.xml"/><Relationship Id="rId38" Type="http://schemas.openxmlformats.org/officeDocument/2006/relationships/chart" Target="../charts/chart122.xml"/><Relationship Id="rId46" Type="http://schemas.openxmlformats.org/officeDocument/2006/relationships/chart" Target="../charts/chart130.xml"/><Relationship Id="rId20" Type="http://schemas.openxmlformats.org/officeDocument/2006/relationships/chart" Target="../charts/chart104.xml"/><Relationship Id="rId41" Type="http://schemas.openxmlformats.org/officeDocument/2006/relationships/chart" Target="../charts/chart125.xml"/><Relationship Id="rId54" Type="http://schemas.openxmlformats.org/officeDocument/2006/relationships/chart" Target="../charts/chart138.xml"/><Relationship Id="rId1" Type="http://schemas.openxmlformats.org/officeDocument/2006/relationships/image" Target="../media/image1.png"/><Relationship Id="rId6" Type="http://schemas.openxmlformats.org/officeDocument/2006/relationships/chart" Target="../charts/chart90.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2.xml"/><Relationship Id="rId36" Type="http://schemas.openxmlformats.org/officeDocument/2006/relationships/chart" Target="../charts/chart120.xml"/><Relationship Id="rId49" Type="http://schemas.openxmlformats.org/officeDocument/2006/relationships/chart" Target="../charts/chart13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39066</xdr:colOff>
      <xdr:row>2</xdr:row>
      <xdr:rowOff>29201</xdr:rowOff>
    </xdr:from>
    <xdr:to>
      <xdr:col>5</xdr:col>
      <xdr:colOff>655593</xdr:colOff>
      <xdr:row>5</xdr:row>
      <xdr:rowOff>156883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360" y="219701"/>
          <a:ext cx="2499115" cy="788829"/>
        </a:xfrm>
        <a:prstGeom prst="rect">
          <a:avLst/>
        </a:prstGeom>
      </xdr:spPr>
    </xdr:pic>
    <xdr:clientData/>
  </xdr:twoCellAnchor>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100853</xdr:colOff>
      <xdr:row>19</xdr:row>
      <xdr:rowOff>141196</xdr:rowOff>
    </xdr:from>
    <xdr:to>
      <xdr:col>6</xdr:col>
      <xdr:colOff>728383</xdr:colOff>
      <xdr:row>29</xdr:row>
      <xdr:rowOff>112059</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100853</xdr:colOff>
      <xdr:row>19</xdr:row>
      <xdr:rowOff>141196</xdr:rowOff>
    </xdr:from>
    <xdr:to>
      <xdr:col>13</xdr:col>
      <xdr:colOff>728383</xdr:colOff>
      <xdr:row>29</xdr:row>
      <xdr:rowOff>112059</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112058</xdr:colOff>
      <xdr:row>2</xdr:row>
      <xdr:rowOff>33618</xdr:rowOff>
    </xdr:from>
    <xdr:to>
      <xdr:col>5</xdr:col>
      <xdr:colOff>705970</xdr:colOff>
      <xdr:row>5</xdr:row>
      <xdr:rowOff>190500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04" t="11416" r="4310" b="10749"/>
        <a:stretch/>
      </xdr:blipFill>
      <xdr:spPr>
        <a:xfrm>
          <a:off x="291352" y="224118"/>
          <a:ext cx="2476500" cy="818029"/>
        </a:xfrm>
        <a:prstGeom prst="rect">
          <a:avLst/>
        </a:prstGeom>
      </xdr:spPr>
    </xdr:pic>
    <xdr:clientData/>
  </xdr:twoCellAnchor>
  <xdr:twoCellAnchor>
    <xdr:from>
      <xdr:col>9</xdr:col>
      <xdr:colOff>818031</xdr:colOff>
      <xdr:row>38</xdr:row>
      <xdr:rowOff>29135</xdr:rowOff>
    </xdr:from>
    <xdr:to>
      <xdr:col>13</xdr:col>
      <xdr:colOff>784411</xdr:colOff>
      <xdr:row>44</xdr:row>
      <xdr:rowOff>33618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795617</xdr:colOff>
      <xdr:row>50</xdr:row>
      <xdr:rowOff>67235</xdr:rowOff>
    </xdr:from>
    <xdr:to>
      <xdr:col>13</xdr:col>
      <xdr:colOff>761997</xdr:colOff>
      <xdr:row>56</xdr:row>
      <xdr:rowOff>71718</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168090</xdr:colOff>
      <xdr:row>60</xdr:row>
      <xdr:rowOff>123265</xdr:rowOff>
    </xdr:from>
    <xdr:to>
      <xdr:col>7</xdr:col>
      <xdr:colOff>100853</xdr:colOff>
      <xdr:row>69</xdr:row>
      <xdr:rowOff>22412</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173539</xdr:colOff>
      <xdr:row>0</xdr:row>
      <xdr:rowOff>152465</xdr:rowOff>
    </xdr:from>
    <xdr:to>
      <xdr:col>3</xdr:col>
      <xdr:colOff>58872</xdr:colOff>
      <xdr:row>4</xdr:row>
      <xdr:rowOff>33619</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27" y="152465"/>
          <a:ext cx="2328216" cy="732801"/>
        </a:xfrm>
        <a:prstGeom prst="rect">
          <a:avLst/>
        </a:prstGeom>
      </xdr:spPr>
    </xdr:pic>
    <xdr:clientData/>
  </xdr:twoCellAnchor>
  <xdr:twoCellAnchor>
    <xdr:from>
      <xdr:col>1</xdr:col>
      <xdr:colOff>89647</xdr:colOff>
      <xdr:row>69</xdr:row>
      <xdr:rowOff>56030</xdr:rowOff>
    </xdr:from>
    <xdr:to>
      <xdr:col>4</xdr:col>
      <xdr:colOff>941294</xdr:colOff>
      <xdr:row>92</xdr:row>
      <xdr:rowOff>156883</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100853</xdr:colOff>
      <xdr:row>69</xdr:row>
      <xdr:rowOff>56029</xdr:rowOff>
    </xdr:from>
    <xdr:to>
      <xdr:col>10</xdr:col>
      <xdr:colOff>11205</xdr:colOff>
      <xdr:row>93</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940" y="143998"/>
          <a:ext cx="2635415" cy="811864"/>
        </a:xfrm>
        <a:prstGeom prst="rect">
          <a:avLst/>
        </a:prstGeom>
      </xdr:spPr>
    </xdr:pic>
    <xdr:clientData/>
  </xdr:twoCellAnchor>
  <xdr:twoCellAnchor>
    <xdr:from>
      <xdr:col>7</xdr:col>
      <xdr:colOff>179294</xdr:colOff>
      <xdr:row>64</xdr:row>
      <xdr:rowOff>56029</xdr:rowOff>
    </xdr:from>
    <xdr:to>
      <xdr:col>12</xdr:col>
      <xdr:colOff>885266</xdr:colOff>
      <xdr:row>75</xdr:row>
      <xdr:rowOff>112059</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98</xdr:row>
      <xdr:rowOff>56029</xdr:rowOff>
    </xdr:from>
    <xdr:to>
      <xdr:col>12</xdr:col>
      <xdr:colOff>885266</xdr:colOff>
      <xdr:row>109</xdr:row>
      <xdr:rowOff>112059</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205</xdr:row>
      <xdr:rowOff>56029</xdr:rowOff>
    </xdr:from>
    <xdr:to>
      <xdr:col>12</xdr:col>
      <xdr:colOff>885266</xdr:colOff>
      <xdr:row>216</xdr:row>
      <xdr:rowOff>112059</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280</xdr:row>
      <xdr:rowOff>56029</xdr:rowOff>
    </xdr:from>
    <xdr:to>
      <xdr:col>12</xdr:col>
      <xdr:colOff>885266</xdr:colOff>
      <xdr:row>292</xdr:row>
      <xdr:rowOff>112059</xdr:rowOff>
    </xdr:to>
    <xdr:graphicFrame macro="">
      <xdr:nvGraphicFramePr>
        <xdr:cNvPr id="11" name="Gráfico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322</xdr:row>
      <xdr:rowOff>56029</xdr:rowOff>
    </xdr:from>
    <xdr:to>
      <xdr:col>12</xdr:col>
      <xdr:colOff>885266</xdr:colOff>
      <xdr:row>334</xdr:row>
      <xdr:rowOff>112059</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365</xdr:row>
      <xdr:rowOff>56029</xdr:rowOff>
    </xdr:from>
    <xdr:to>
      <xdr:col>12</xdr:col>
      <xdr:colOff>885266</xdr:colOff>
      <xdr:row>377</xdr:row>
      <xdr:rowOff>112059</xdr:rowOff>
    </xdr:to>
    <xdr:graphicFrame macro="">
      <xdr:nvGraphicFramePr>
        <xdr:cNvPr id="13" name="Gráfico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400</xdr:row>
      <xdr:rowOff>56029</xdr:rowOff>
    </xdr:from>
    <xdr:to>
      <xdr:col>12</xdr:col>
      <xdr:colOff>885266</xdr:colOff>
      <xdr:row>412</xdr:row>
      <xdr:rowOff>112059</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437</xdr:row>
      <xdr:rowOff>56029</xdr:rowOff>
    </xdr:from>
    <xdr:to>
      <xdr:col>12</xdr:col>
      <xdr:colOff>885266</xdr:colOff>
      <xdr:row>449</xdr:row>
      <xdr:rowOff>112059</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472</xdr:row>
      <xdr:rowOff>56029</xdr:rowOff>
    </xdr:from>
    <xdr:to>
      <xdr:col>12</xdr:col>
      <xdr:colOff>885266</xdr:colOff>
      <xdr:row>484</xdr:row>
      <xdr:rowOff>112059</xdr:rowOff>
    </xdr:to>
    <xdr:graphicFrame macro="">
      <xdr:nvGraphicFramePr>
        <xdr:cNvPr id="18" name="Gráfico 17">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507</xdr:row>
      <xdr:rowOff>56029</xdr:rowOff>
    </xdr:from>
    <xdr:to>
      <xdr:col>12</xdr:col>
      <xdr:colOff>885266</xdr:colOff>
      <xdr:row>519</xdr:row>
      <xdr:rowOff>112059</xdr:rowOff>
    </xdr:to>
    <xdr:graphicFrame macro="">
      <xdr:nvGraphicFramePr>
        <xdr:cNvPr id="19" name="Gráfico 18">
          <a:extLst>
            <a:ext uri="{FF2B5EF4-FFF2-40B4-BE49-F238E27FC236}">
              <a16:creationId xmlns:a16="http://schemas.microsoft.com/office/drawing/2014/main" id="{00000000-0008-0000-0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543</xdr:row>
      <xdr:rowOff>56029</xdr:rowOff>
    </xdr:from>
    <xdr:to>
      <xdr:col>12</xdr:col>
      <xdr:colOff>885266</xdr:colOff>
      <xdr:row>555</xdr:row>
      <xdr:rowOff>112059</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639</xdr:row>
      <xdr:rowOff>56029</xdr:rowOff>
    </xdr:from>
    <xdr:to>
      <xdr:col>12</xdr:col>
      <xdr:colOff>885266</xdr:colOff>
      <xdr:row>651</xdr:row>
      <xdr:rowOff>112059</xdr:rowOff>
    </xdr:to>
    <xdr:graphicFrame macro="">
      <xdr:nvGraphicFramePr>
        <xdr:cNvPr id="21" name="Gráfico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748</xdr:row>
      <xdr:rowOff>56029</xdr:rowOff>
    </xdr:from>
    <xdr:to>
      <xdr:col>12</xdr:col>
      <xdr:colOff>885266</xdr:colOff>
      <xdr:row>760</xdr:row>
      <xdr:rowOff>112059</xdr:rowOff>
    </xdr:to>
    <xdr:graphicFrame macro="">
      <xdr:nvGraphicFramePr>
        <xdr:cNvPr id="23" name="Gráfico 22">
          <a:extLst>
            <a:ext uri="{FF2B5EF4-FFF2-40B4-BE49-F238E27FC236}">
              <a16:creationId xmlns:a16="http://schemas.microsoft.com/office/drawing/2014/main" id="{00000000-0008-0000-0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785</xdr:row>
      <xdr:rowOff>56029</xdr:rowOff>
    </xdr:from>
    <xdr:to>
      <xdr:col>12</xdr:col>
      <xdr:colOff>885266</xdr:colOff>
      <xdr:row>797</xdr:row>
      <xdr:rowOff>112059</xdr:rowOff>
    </xdr:to>
    <xdr:graphicFrame macro="">
      <xdr:nvGraphicFramePr>
        <xdr:cNvPr id="26" name="Gráfico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828</xdr:row>
      <xdr:rowOff>56029</xdr:rowOff>
    </xdr:from>
    <xdr:to>
      <xdr:col>12</xdr:col>
      <xdr:colOff>885266</xdr:colOff>
      <xdr:row>840</xdr:row>
      <xdr:rowOff>112059</xdr:rowOff>
    </xdr:to>
    <xdr:graphicFrame macro="">
      <xdr:nvGraphicFramePr>
        <xdr:cNvPr id="27" name="Gráfico 26">
          <a:extLst>
            <a:ext uri="{FF2B5EF4-FFF2-40B4-BE49-F238E27FC236}">
              <a16:creationId xmlns:a16="http://schemas.microsoft.com/office/drawing/2014/main" id="{00000000-0008-0000-0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866</xdr:row>
      <xdr:rowOff>56029</xdr:rowOff>
    </xdr:from>
    <xdr:to>
      <xdr:col>12</xdr:col>
      <xdr:colOff>885266</xdr:colOff>
      <xdr:row>878</xdr:row>
      <xdr:rowOff>112059</xdr:rowOff>
    </xdr:to>
    <xdr:graphicFrame macro="">
      <xdr:nvGraphicFramePr>
        <xdr:cNvPr id="29" name="Gráfico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905</xdr:row>
      <xdr:rowOff>56029</xdr:rowOff>
    </xdr:from>
    <xdr:to>
      <xdr:col>12</xdr:col>
      <xdr:colOff>885266</xdr:colOff>
      <xdr:row>917</xdr:row>
      <xdr:rowOff>112059</xdr:rowOff>
    </xdr:to>
    <xdr:graphicFrame macro="">
      <xdr:nvGraphicFramePr>
        <xdr:cNvPr id="31" name="Gráfico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32" name="Gráfico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1585</xdr:row>
      <xdr:rowOff>56029</xdr:rowOff>
    </xdr:from>
    <xdr:to>
      <xdr:col>12</xdr:col>
      <xdr:colOff>885266</xdr:colOff>
      <xdr:row>1596</xdr:row>
      <xdr:rowOff>112059</xdr:rowOff>
    </xdr:to>
    <xdr:graphicFrame macro="">
      <xdr:nvGraphicFramePr>
        <xdr:cNvPr id="34" name="Gráfico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1689</xdr:row>
      <xdr:rowOff>56029</xdr:rowOff>
    </xdr:from>
    <xdr:to>
      <xdr:col>12</xdr:col>
      <xdr:colOff>885266</xdr:colOff>
      <xdr:row>1700</xdr:row>
      <xdr:rowOff>112059</xdr:rowOff>
    </xdr:to>
    <xdr:graphicFrame macro="">
      <xdr:nvGraphicFramePr>
        <xdr:cNvPr id="35" name="Gráfico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2313</xdr:row>
      <xdr:rowOff>56029</xdr:rowOff>
    </xdr:from>
    <xdr:to>
      <xdr:col>12</xdr:col>
      <xdr:colOff>885266</xdr:colOff>
      <xdr:row>2324</xdr:row>
      <xdr:rowOff>112059</xdr:rowOff>
    </xdr:to>
    <xdr:graphicFrame macro="">
      <xdr:nvGraphicFramePr>
        <xdr:cNvPr id="36" name="Gráfico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1151</xdr:row>
      <xdr:rowOff>56029</xdr:rowOff>
    </xdr:from>
    <xdr:to>
      <xdr:col>12</xdr:col>
      <xdr:colOff>885266</xdr:colOff>
      <xdr:row>1163</xdr:row>
      <xdr:rowOff>112059</xdr:rowOff>
    </xdr:to>
    <xdr:graphicFrame macro="">
      <xdr:nvGraphicFramePr>
        <xdr:cNvPr id="37" name="Gráfico 36">
          <a:extLst>
            <a:ext uri="{FF2B5EF4-FFF2-40B4-BE49-F238E27FC236}">
              <a16:creationId xmlns:a16="http://schemas.microsoft.com/office/drawing/2014/main" id="{00000000-0008-0000-04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1186</xdr:row>
      <xdr:rowOff>56029</xdr:rowOff>
    </xdr:from>
    <xdr:to>
      <xdr:col>12</xdr:col>
      <xdr:colOff>885266</xdr:colOff>
      <xdr:row>1198</xdr:row>
      <xdr:rowOff>112059</xdr:rowOff>
    </xdr:to>
    <xdr:graphicFrame macro="">
      <xdr:nvGraphicFramePr>
        <xdr:cNvPr id="25" name="Gráfico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1258</xdr:row>
      <xdr:rowOff>56029</xdr:rowOff>
    </xdr:from>
    <xdr:to>
      <xdr:col>12</xdr:col>
      <xdr:colOff>885266</xdr:colOff>
      <xdr:row>1270</xdr:row>
      <xdr:rowOff>112059</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1332</xdr:row>
      <xdr:rowOff>56029</xdr:rowOff>
    </xdr:from>
    <xdr:to>
      <xdr:col>12</xdr:col>
      <xdr:colOff>885266</xdr:colOff>
      <xdr:row>1344</xdr:row>
      <xdr:rowOff>112059</xdr:rowOff>
    </xdr:to>
    <xdr:graphicFrame macro="">
      <xdr:nvGraphicFramePr>
        <xdr:cNvPr id="30" name="Gráfico 29">
          <a:extLst>
            <a:ext uri="{FF2B5EF4-FFF2-40B4-BE49-F238E27FC236}">
              <a16:creationId xmlns:a16="http://schemas.microsoft.com/office/drawing/2014/main" id="{00000000-0008-0000-0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1366</xdr:row>
      <xdr:rowOff>56029</xdr:rowOff>
    </xdr:from>
    <xdr:to>
      <xdr:col>12</xdr:col>
      <xdr:colOff>885266</xdr:colOff>
      <xdr:row>1378</xdr:row>
      <xdr:rowOff>112059</xdr:rowOff>
    </xdr:to>
    <xdr:graphicFrame macro="">
      <xdr:nvGraphicFramePr>
        <xdr:cNvPr id="38" name="Gráfico 37">
          <a:extLst>
            <a:ext uri="{FF2B5EF4-FFF2-40B4-BE49-F238E27FC236}">
              <a16:creationId xmlns:a16="http://schemas.microsoft.com/office/drawing/2014/main" id="{00000000-0008-0000-0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1549</xdr:row>
      <xdr:rowOff>56029</xdr:rowOff>
    </xdr:from>
    <xdr:to>
      <xdr:col>12</xdr:col>
      <xdr:colOff>885266</xdr:colOff>
      <xdr:row>1561</xdr:row>
      <xdr:rowOff>112059</xdr:rowOff>
    </xdr:to>
    <xdr:graphicFrame macro="">
      <xdr:nvGraphicFramePr>
        <xdr:cNvPr id="39" name="Gráfico 38">
          <a:extLst>
            <a:ext uri="{FF2B5EF4-FFF2-40B4-BE49-F238E27FC236}">
              <a16:creationId xmlns:a16="http://schemas.microsoft.com/office/drawing/2014/main" id="{00000000-0008-0000-0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1651</xdr:row>
      <xdr:rowOff>56029</xdr:rowOff>
    </xdr:from>
    <xdr:to>
      <xdr:col>12</xdr:col>
      <xdr:colOff>885266</xdr:colOff>
      <xdr:row>1663</xdr:row>
      <xdr:rowOff>112059</xdr:rowOff>
    </xdr:to>
    <xdr:graphicFrame macro="">
      <xdr:nvGraphicFramePr>
        <xdr:cNvPr id="40" name="Gráfico 39">
          <a:extLst>
            <a:ext uri="{FF2B5EF4-FFF2-40B4-BE49-F238E27FC236}">
              <a16:creationId xmlns:a16="http://schemas.microsoft.com/office/drawing/2014/main" id="{00000000-0008-0000-04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1722</xdr:row>
      <xdr:rowOff>56029</xdr:rowOff>
    </xdr:from>
    <xdr:to>
      <xdr:col>12</xdr:col>
      <xdr:colOff>885266</xdr:colOff>
      <xdr:row>1734</xdr:row>
      <xdr:rowOff>112059</xdr:rowOff>
    </xdr:to>
    <xdr:graphicFrame macro="">
      <xdr:nvGraphicFramePr>
        <xdr:cNvPr id="41" name="Gráfico 40">
          <a:extLst>
            <a:ext uri="{FF2B5EF4-FFF2-40B4-BE49-F238E27FC236}">
              <a16:creationId xmlns:a16="http://schemas.microsoft.com/office/drawing/2014/main" id="{00000000-0008-0000-0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1799</xdr:row>
      <xdr:rowOff>56029</xdr:rowOff>
    </xdr:from>
    <xdr:to>
      <xdr:col>12</xdr:col>
      <xdr:colOff>885266</xdr:colOff>
      <xdr:row>1811</xdr:row>
      <xdr:rowOff>112059</xdr:rowOff>
    </xdr:to>
    <xdr:graphicFrame macro="">
      <xdr:nvGraphicFramePr>
        <xdr:cNvPr id="42" name="Gráfico 41">
          <a:extLst>
            <a:ext uri="{FF2B5EF4-FFF2-40B4-BE49-F238E27FC236}">
              <a16:creationId xmlns:a16="http://schemas.microsoft.com/office/drawing/2014/main" id="{00000000-0008-0000-04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1836</xdr:row>
      <xdr:rowOff>56029</xdr:rowOff>
    </xdr:from>
    <xdr:to>
      <xdr:col>12</xdr:col>
      <xdr:colOff>885266</xdr:colOff>
      <xdr:row>1848</xdr:row>
      <xdr:rowOff>112059</xdr:rowOff>
    </xdr:to>
    <xdr:graphicFrame macro="">
      <xdr:nvGraphicFramePr>
        <xdr:cNvPr id="43" name="Gráfico 42">
          <a:extLst>
            <a:ext uri="{FF2B5EF4-FFF2-40B4-BE49-F238E27FC236}">
              <a16:creationId xmlns:a16="http://schemas.microsoft.com/office/drawing/2014/main" id="{00000000-0008-0000-0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1874</xdr:row>
      <xdr:rowOff>56029</xdr:rowOff>
    </xdr:from>
    <xdr:to>
      <xdr:col>12</xdr:col>
      <xdr:colOff>885266</xdr:colOff>
      <xdr:row>1886</xdr:row>
      <xdr:rowOff>112059</xdr:rowOff>
    </xdr:to>
    <xdr:graphicFrame macro="">
      <xdr:nvGraphicFramePr>
        <xdr:cNvPr id="44" name="Gráfico 4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1946</xdr:row>
      <xdr:rowOff>56029</xdr:rowOff>
    </xdr:from>
    <xdr:to>
      <xdr:col>12</xdr:col>
      <xdr:colOff>885266</xdr:colOff>
      <xdr:row>1958</xdr:row>
      <xdr:rowOff>112059</xdr:rowOff>
    </xdr:to>
    <xdr:graphicFrame macro="">
      <xdr:nvGraphicFramePr>
        <xdr:cNvPr id="45" name="Gráfico 44">
          <a:extLst>
            <a:ext uri="{FF2B5EF4-FFF2-40B4-BE49-F238E27FC236}">
              <a16:creationId xmlns:a16="http://schemas.microsoft.com/office/drawing/2014/main" id="{00000000-0008-0000-04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1988</xdr:row>
      <xdr:rowOff>56029</xdr:rowOff>
    </xdr:from>
    <xdr:to>
      <xdr:col>12</xdr:col>
      <xdr:colOff>885266</xdr:colOff>
      <xdr:row>2000</xdr:row>
      <xdr:rowOff>112059</xdr:rowOff>
    </xdr:to>
    <xdr:graphicFrame macro="">
      <xdr:nvGraphicFramePr>
        <xdr:cNvPr id="46" name="Gráfico 45">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2030</xdr:row>
      <xdr:rowOff>56029</xdr:rowOff>
    </xdr:from>
    <xdr:to>
      <xdr:col>12</xdr:col>
      <xdr:colOff>885266</xdr:colOff>
      <xdr:row>2042</xdr:row>
      <xdr:rowOff>112059</xdr:rowOff>
    </xdr:to>
    <xdr:graphicFrame macro="">
      <xdr:nvGraphicFramePr>
        <xdr:cNvPr id="47" name="Gráfico 46">
          <a:extLst>
            <a:ext uri="{FF2B5EF4-FFF2-40B4-BE49-F238E27FC236}">
              <a16:creationId xmlns:a16="http://schemas.microsoft.com/office/drawing/2014/main" id="{00000000-0008-0000-0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2068</xdr:row>
      <xdr:rowOff>56029</xdr:rowOff>
    </xdr:from>
    <xdr:to>
      <xdr:col>12</xdr:col>
      <xdr:colOff>885266</xdr:colOff>
      <xdr:row>2080</xdr:row>
      <xdr:rowOff>112059</xdr:rowOff>
    </xdr:to>
    <xdr:graphicFrame macro="">
      <xdr:nvGraphicFramePr>
        <xdr:cNvPr id="48" name="Gráfico 47">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2137</xdr:row>
      <xdr:rowOff>56029</xdr:rowOff>
    </xdr:from>
    <xdr:to>
      <xdr:col>12</xdr:col>
      <xdr:colOff>885266</xdr:colOff>
      <xdr:row>2149</xdr:row>
      <xdr:rowOff>112059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2171</xdr:row>
      <xdr:rowOff>56029</xdr:rowOff>
    </xdr:from>
    <xdr:to>
      <xdr:col>12</xdr:col>
      <xdr:colOff>885266</xdr:colOff>
      <xdr:row>2183</xdr:row>
      <xdr:rowOff>112059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2205</xdr:row>
      <xdr:rowOff>56029</xdr:rowOff>
    </xdr:from>
    <xdr:to>
      <xdr:col>12</xdr:col>
      <xdr:colOff>885266</xdr:colOff>
      <xdr:row>2217</xdr:row>
      <xdr:rowOff>112059</xdr:rowOff>
    </xdr:to>
    <xdr:graphicFrame macro="">
      <xdr:nvGraphicFramePr>
        <xdr:cNvPr id="51" name="Gráfico 50">
          <a:extLst>
            <a:ext uri="{FF2B5EF4-FFF2-40B4-BE49-F238E27FC236}">
              <a16:creationId xmlns:a16="http://schemas.microsoft.com/office/drawing/2014/main" id="{00000000-0008-0000-04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2239</xdr:row>
      <xdr:rowOff>56029</xdr:rowOff>
    </xdr:from>
    <xdr:to>
      <xdr:col>12</xdr:col>
      <xdr:colOff>885266</xdr:colOff>
      <xdr:row>2251</xdr:row>
      <xdr:rowOff>112059</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2508</xdr:row>
      <xdr:rowOff>56029</xdr:rowOff>
    </xdr:from>
    <xdr:to>
      <xdr:col>12</xdr:col>
      <xdr:colOff>885266</xdr:colOff>
      <xdr:row>2520</xdr:row>
      <xdr:rowOff>112059</xdr:rowOff>
    </xdr:to>
    <xdr:graphicFrame macro="">
      <xdr:nvGraphicFramePr>
        <xdr:cNvPr id="53" name="Gráfico 52">
          <a:extLst>
            <a:ext uri="{FF2B5EF4-FFF2-40B4-BE49-F238E27FC236}">
              <a16:creationId xmlns:a16="http://schemas.microsoft.com/office/drawing/2014/main" id="{00000000-0008-0000-0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2391</xdr:row>
      <xdr:rowOff>56029</xdr:rowOff>
    </xdr:from>
    <xdr:to>
      <xdr:col>12</xdr:col>
      <xdr:colOff>885266</xdr:colOff>
      <xdr:row>2403</xdr:row>
      <xdr:rowOff>112059</xdr:rowOff>
    </xdr:to>
    <xdr:graphicFrame macro="">
      <xdr:nvGraphicFramePr>
        <xdr:cNvPr id="54" name="Gráfico 53">
          <a:extLst>
            <a:ext uri="{FF2B5EF4-FFF2-40B4-BE49-F238E27FC236}">
              <a16:creationId xmlns:a16="http://schemas.microsoft.com/office/drawing/2014/main" id="{00000000-0008-0000-0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2427</xdr:row>
      <xdr:rowOff>56029</xdr:rowOff>
    </xdr:from>
    <xdr:to>
      <xdr:col>12</xdr:col>
      <xdr:colOff>885266</xdr:colOff>
      <xdr:row>2438</xdr:row>
      <xdr:rowOff>112059</xdr:rowOff>
    </xdr:to>
    <xdr:graphicFrame macro="">
      <xdr:nvGraphicFramePr>
        <xdr:cNvPr id="55" name="Gráfico 54">
          <a:extLst>
            <a:ext uri="{FF2B5EF4-FFF2-40B4-BE49-F238E27FC236}">
              <a16:creationId xmlns:a16="http://schemas.microsoft.com/office/drawing/2014/main" id="{00000000-0008-0000-04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2465</xdr:row>
      <xdr:rowOff>56029</xdr:rowOff>
    </xdr:from>
    <xdr:to>
      <xdr:col>12</xdr:col>
      <xdr:colOff>885266</xdr:colOff>
      <xdr:row>2476</xdr:row>
      <xdr:rowOff>112059</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2104</xdr:row>
      <xdr:rowOff>56029</xdr:rowOff>
    </xdr:from>
    <xdr:to>
      <xdr:col>12</xdr:col>
      <xdr:colOff>885266</xdr:colOff>
      <xdr:row>2115</xdr:row>
      <xdr:rowOff>112059</xdr:rowOff>
    </xdr:to>
    <xdr:graphicFrame macro="">
      <xdr:nvGraphicFramePr>
        <xdr:cNvPr id="57" name="Gráfico 56">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179294</xdr:colOff>
      <xdr:row>1027</xdr:row>
      <xdr:rowOff>56029</xdr:rowOff>
    </xdr:from>
    <xdr:to>
      <xdr:col>12</xdr:col>
      <xdr:colOff>885266</xdr:colOff>
      <xdr:row>1038</xdr:row>
      <xdr:rowOff>112059</xdr:rowOff>
    </xdr:to>
    <xdr:graphicFrame macro="">
      <xdr:nvGraphicFramePr>
        <xdr:cNvPr id="58" name="Gráfico 57">
          <a:extLst>
            <a:ext uri="{FF2B5EF4-FFF2-40B4-BE49-F238E27FC236}">
              <a16:creationId xmlns:a16="http://schemas.microsoft.com/office/drawing/2014/main" id="{00000000-0008-0000-0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179294</xdr:colOff>
      <xdr:row>1435</xdr:row>
      <xdr:rowOff>56029</xdr:rowOff>
    </xdr:from>
    <xdr:to>
      <xdr:col>12</xdr:col>
      <xdr:colOff>885266</xdr:colOff>
      <xdr:row>1446</xdr:row>
      <xdr:rowOff>112059</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179294</xdr:colOff>
      <xdr:row>1472</xdr:row>
      <xdr:rowOff>56029</xdr:rowOff>
    </xdr:from>
    <xdr:to>
      <xdr:col>12</xdr:col>
      <xdr:colOff>885266</xdr:colOff>
      <xdr:row>1483</xdr:row>
      <xdr:rowOff>112059</xdr:rowOff>
    </xdr:to>
    <xdr:graphicFrame macro="">
      <xdr:nvGraphicFramePr>
        <xdr:cNvPr id="60" name="Gráfico 59">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179294</xdr:colOff>
      <xdr:row>1911</xdr:row>
      <xdr:rowOff>56029</xdr:rowOff>
    </xdr:from>
    <xdr:to>
      <xdr:col>12</xdr:col>
      <xdr:colOff>885266</xdr:colOff>
      <xdr:row>1922</xdr:row>
      <xdr:rowOff>112059</xdr:rowOff>
    </xdr:to>
    <xdr:graphicFrame macro="">
      <xdr:nvGraphicFramePr>
        <xdr:cNvPr id="61" name="Gráfico 60">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1401</xdr:row>
      <xdr:rowOff>56029</xdr:rowOff>
    </xdr:from>
    <xdr:to>
      <xdr:col>12</xdr:col>
      <xdr:colOff>885266</xdr:colOff>
      <xdr:row>1413</xdr:row>
      <xdr:rowOff>112059</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131</xdr:row>
      <xdr:rowOff>56029</xdr:rowOff>
    </xdr:from>
    <xdr:to>
      <xdr:col>12</xdr:col>
      <xdr:colOff>885266</xdr:colOff>
      <xdr:row>142</xdr:row>
      <xdr:rowOff>112059</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678</xdr:row>
      <xdr:rowOff>56029</xdr:rowOff>
    </xdr:from>
    <xdr:to>
      <xdr:col>12</xdr:col>
      <xdr:colOff>885266</xdr:colOff>
      <xdr:row>690</xdr:row>
      <xdr:rowOff>112059</xdr:rowOff>
    </xdr:to>
    <xdr:graphicFrame macro="">
      <xdr:nvGraphicFramePr>
        <xdr:cNvPr id="65" name="Gráfico 64">
          <a:extLst>
            <a:ext uri="{FF2B5EF4-FFF2-40B4-BE49-F238E27FC236}">
              <a16:creationId xmlns:a16="http://schemas.microsoft.com/office/drawing/2014/main" id="{00000000-0008-0000-04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1507</xdr:row>
      <xdr:rowOff>56029</xdr:rowOff>
    </xdr:from>
    <xdr:to>
      <xdr:col>12</xdr:col>
      <xdr:colOff>885266</xdr:colOff>
      <xdr:row>1519</xdr:row>
      <xdr:rowOff>112059</xdr:rowOff>
    </xdr:to>
    <xdr:graphicFrame macro="">
      <xdr:nvGraphicFramePr>
        <xdr:cNvPr id="66" name="Gráfico 65">
          <a:extLst>
            <a:ext uri="{FF2B5EF4-FFF2-40B4-BE49-F238E27FC236}">
              <a16:creationId xmlns:a16="http://schemas.microsoft.com/office/drawing/2014/main" id="{00000000-0008-0000-04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2277</xdr:row>
      <xdr:rowOff>56029</xdr:rowOff>
    </xdr:from>
    <xdr:to>
      <xdr:col>12</xdr:col>
      <xdr:colOff>885266</xdr:colOff>
      <xdr:row>2289</xdr:row>
      <xdr:rowOff>112059</xdr:rowOff>
    </xdr:to>
    <xdr:graphicFrame macro="">
      <xdr:nvGraphicFramePr>
        <xdr:cNvPr id="67" name="Gráfico 66">
          <a:extLst>
            <a:ext uri="{FF2B5EF4-FFF2-40B4-BE49-F238E27FC236}">
              <a16:creationId xmlns:a16="http://schemas.microsoft.com/office/drawing/2014/main" id="{00000000-0008-0000-04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179294</xdr:colOff>
      <xdr:row>1290</xdr:row>
      <xdr:rowOff>56029</xdr:rowOff>
    </xdr:from>
    <xdr:to>
      <xdr:col>12</xdr:col>
      <xdr:colOff>885266</xdr:colOff>
      <xdr:row>1302</xdr:row>
      <xdr:rowOff>112059</xdr:rowOff>
    </xdr:to>
    <xdr:graphicFrame macro="">
      <xdr:nvGraphicFramePr>
        <xdr:cNvPr id="68" name="Gráfico 67">
          <a:extLst>
            <a:ext uri="{FF2B5EF4-FFF2-40B4-BE49-F238E27FC236}">
              <a16:creationId xmlns:a16="http://schemas.microsoft.com/office/drawing/2014/main" id="{00000000-0008-0000-04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179294</xdr:colOff>
      <xdr:row>238</xdr:row>
      <xdr:rowOff>56029</xdr:rowOff>
    </xdr:from>
    <xdr:to>
      <xdr:col>12</xdr:col>
      <xdr:colOff>885266</xdr:colOff>
      <xdr:row>250</xdr:row>
      <xdr:rowOff>112059</xdr:rowOff>
    </xdr:to>
    <xdr:graphicFrame macro="">
      <xdr:nvGraphicFramePr>
        <xdr:cNvPr id="69" name="Gráfico 68">
          <a:extLst>
            <a:ext uri="{FF2B5EF4-FFF2-40B4-BE49-F238E27FC236}">
              <a16:creationId xmlns:a16="http://schemas.microsoft.com/office/drawing/2014/main" id="{00000000-0008-0000-04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179294</xdr:colOff>
      <xdr:row>2349</xdr:row>
      <xdr:rowOff>56029</xdr:rowOff>
    </xdr:from>
    <xdr:to>
      <xdr:col>12</xdr:col>
      <xdr:colOff>885266</xdr:colOff>
      <xdr:row>2360</xdr:row>
      <xdr:rowOff>112059</xdr:rowOff>
    </xdr:to>
    <xdr:graphicFrame macro="">
      <xdr:nvGraphicFramePr>
        <xdr:cNvPr id="64" name="Gráfico 63">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179294</xdr:colOff>
      <xdr:row>1223</xdr:row>
      <xdr:rowOff>56029</xdr:rowOff>
    </xdr:from>
    <xdr:to>
      <xdr:col>12</xdr:col>
      <xdr:colOff>885266</xdr:colOff>
      <xdr:row>1235</xdr:row>
      <xdr:rowOff>112059</xdr:rowOff>
    </xdr:to>
    <xdr:graphicFrame macro="">
      <xdr:nvGraphicFramePr>
        <xdr:cNvPr id="70" name="Gráfico 69">
          <a:extLst>
            <a:ext uri="{FF2B5EF4-FFF2-40B4-BE49-F238E27FC236}">
              <a16:creationId xmlns:a16="http://schemas.microsoft.com/office/drawing/2014/main" id="{00000000-0008-0000-04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179294</xdr:colOff>
      <xdr:row>714</xdr:row>
      <xdr:rowOff>56029</xdr:rowOff>
    </xdr:from>
    <xdr:to>
      <xdr:col>12</xdr:col>
      <xdr:colOff>885266</xdr:colOff>
      <xdr:row>726</xdr:row>
      <xdr:rowOff>112059</xdr:rowOff>
    </xdr:to>
    <xdr:graphicFrame macro="">
      <xdr:nvGraphicFramePr>
        <xdr:cNvPr id="71" name="Gráfico 70">
          <a:extLst>
            <a:ext uri="{FF2B5EF4-FFF2-40B4-BE49-F238E27FC236}">
              <a16:creationId xmlns:a16="http://schemas.microsoft.com/office/drawing/2014/main" id="{00000000-0008-0000-0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72" name="Gráfico 71">
          <a:extLst>
            <a:ext uri="{FF2B5EF4-FFF2-40B4-BE49-F238E27FC236}">
              <a16:creationId xmlns:a16="http://schemas.microsoft.com/office/drawing/2014/main" id="{00000000-0008-0000-0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7</xdr:col>
      <xdr:colOff>179294</xdr:colOff>
      <xdr:row>1028</xdr:row>
      <xdr:rowOff>56029</xdr:rowOff>
    </xdr:from>
    <xdr:to>
      <xdr:col>12</xdr:col>
      <xdr:colOff>885266</xdr:colOff>
      <xdr:row>1040</xdr:row>
      <xdr:rowOff>112059</xdr:rowOff>
    </xdr:to>
    <xdr:graphicFrame macro="">
      <xdr:nvGraphicFramePr>
        <xdr:cNvPr id="74" name="Gráfico 73">
          <a:extLst>
            <a:ext uri="{FF2B5EF4-FFF2-40B4-BE49-F238E27FC236}">
              <a16:creationId xmlns:a16="http://schemas.microsoft.com/office/drawing/2014/main" id="{00000000-0008-0000-04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7</xdr:col>
      <xdr:colOff>238125</xdr:colOff>
      <xdr:row>2548</xdr:row>
      <xdr:rowOff>44122</xdr:rowOff>
    </xdr:from>
    <xdr:to>
      <xdr:col>12</xdr:col>
      <xdr:colOff>944097</xdr:colOff>
      <xdr:row>2560</xdr:row>
      <xdr:rowOff>100152</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179294</xdr:colOff>
      <xdr:row>1836</xdr:row>
      <xdr:rowOff>56029</xdr:rowOff>
    </xdr:from>
    <xdr:to>
      <xdr:col>12</xdr:col>
      <xdr:colOff>885266</xdr:colOff>
      <xdr:row>1847</xdr:row>
      <xdr:rowOff>112059</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179294</xdr:colOff>
      <xdr:row>1837</xdr:row>
      <xdr:rowOff>56029</xdr:rowOff>
    </xdr:from>
    <xdr:to>
      <xdr:col>12</xdr:col>
      <xdr:colOff>885266</xdr:colOff>
      <xdr:row>1849</xdr:row>
      <xdr:rowOff>112059</xdr:rowOff>
    </xdr:to>
    <xdr:graphicFrame macro="">
      <xdr:nvGraphicFramePr>
        <xdr:cNvPr id="80" name="Gráfico 79">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179294</xdr:colOff>
      <xdr:row>1107</xdr:row>
      <xdr:rowOff>56029</xdr:rowOff>
    </xdr:from>
    <xdr:to>
      <xdr:col>12</xdr:col>
      <xdr:colOff>885266</xdr:colOff>
      <xdr:row>1119</xdr:row>
      <xdr:rowOff>112059</xdr:rowOff>
    </xdr:to>
    <xdr:graphicFrame macro="">
      <xdr:nvGraphicFramePr>
        <xdr:cNvPr id="73" name="Gráfico 72">
          <a:extLst>
            <a:ext uri="{FF2B5EF4-FFF2-40B4-BE49-F238E27FC236}">
              <a16:creationId xmlns:a16="http://schemas.microsoft.com/office/drawing/2014/main" id="{00000000-0008-0000-0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xdr:col>
      <xdr:colOff>179294</xdr:colOff>
      <xdr:row>1107</xdr:row>
      <xdr:rowOff>56029</xdr:rowOff>
    </xdr:from>
    <xdr:to>
      <xdr:col>12</xdr:col>
      <xdr:colOff>885266</xdr:colOff>
      <xdr:row>1118</xdr:row>
      <xdr:rowOff>112059</xdr:rowOff>
    </xdr:to>
    <xdr:graphicFrame macro="">
      <xdr:nvGraphicFramePr>
        <xdr:cNvPr id="75" name="Gráfico 74">
          <a:extLst>
            <a:ext uri="{FF2B5EF4-FFF2-40B4-BE49-F238E27FC236}">
              <a16:creationId xmlns:a16="http://schemas.microsoft.com/office/drawing/2014/main" id="{00000000-0008-0000-0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xdr:col>
      <xdr:colOff>179294</xdr:colOff>
      <xdr:row>1108</xdr:row>
      <xdr:rowOff>56029</xdr:rowOff>
    </xdr:from>
    <xdr:to>
      <xdr:col>12</xdr:col>
      <xdr:colOff>885266</xdr:colOff>
      <xdr:row>1120</xdr:row>
      <xdr:rowOff>112059</xdr:rowOff>
    </xdr:to>
    <xdr:graphicFrame macro="">
      <xdr:nvGraphicFramePr>
        <xdr:cNvPr id="76" name="Gráfico 75">
          <a:extLst>
            <a:ext uri="{FF2B5EF4-FFF2-40B4-BE49-F238E27FC236}">
              <a16:creationId xmlns:a16="http://schemas.microsoft.com/office/drawing/2014/main" id="{00000000-0008-0000-0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xdr:col>
      <xdr:colOff>179294</xdr:colOff>
      <xdr:row>167</xdr:row>
      <xdr:rowOff>56029</xdr:rowOff>
    </xdr:from>
    <xdr:to>
      <xdr:col>12</xdr:col>
      <xdr:colOff>885266</xdr:colOff>
      <xdr:row>178</xdr:row>
      <xdr:rowOff>112059</xdr:rowOff>
    </xdr:to>
    <xdr:graphicFrame macro="">
      <xdr:nvGraphicFramePr>
        <xdr:cNvPr id="81" name="Gráfico 80">
          <a:extLst>
            <a:ext uri="{FF2B5EF4-FFF2-40B4-BE49-F238E27FC236}">
              <a16:creationId xmlns:a16="http://schemas.microsoft.com/office/drawing/2014/main" id="{00000000-0008-0000-04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xdr:col>
      <xdr:colOff>179294</xdr:colOff>
      <xdr:row>168</xdr:row>
      <xdr:rowOff>56029</xdr:rowOff>
    </xdr:from>
    <xdr:to>
      <xdr:col>12</xdr:col>
      <xdr:colOff>885266</xdr:colOff>
      <xdr:row>180</xdr:row>
      <xdr:rowOff>112059</xdr:rowOff>
    </xdr:to>
    <xdr:graphicFrame macro="">
      <xdr:nvGraphicFramePr>
        <xdr:cNvPr id="82" name="Gráfico 81">
          <a:extLst>
            <a:ext uri="{FF2B5EF4-FFF2-40B4-BE49-F238E27FC236}">
              <a16:creationId xmlns:a16="http://schemas.microsoft.com/office/drawing/2014/main" id="{00000000-0008-0000-0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xdr:col>
      <xdr:colOff>143576</xdr:colOff>
      <xdr:row>598</xdr:row>
      <xdr:rowOff>20311</xdr:rowOff>
    </xdr:from>
    <xdr:to>
      <xdr:col>12</xdr:col>
      <xdr:colOff>849548</xdr:colOff>
      <xdr:row>609</xdr:row>
      <xdr:rowOff>76341</xdr:rowOff>
    </xdr:to>
    <xdr:graphicFrame macro="">
      <xdr:nvGraphicFramePr>
        <xdr:cNvPr id="83" name="Gráfico 82">
          <a:extLst>
            <a:ext uri="{FF2B5EF4-FFF2-40B4-BE49-F238E27FC236}">
              <a16:creationId xmlns:a16="http://schemas.microsoft.com/office/drawing/2014/main" id="{00000000-0008-0000-04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xdr:col>
      <xdr:colOff>238125</xdr:colOff>
      <xdr:row>943</xdr:row>
      <xdr:rowOff>44122</xdr:rowOff>
    </xdr:from>
    <xdr:to>
      <xdr:col>12</xdr:col>
      <xdr:colOff>944097</xdr:colOff>
      <xdr:row>955</xdr:row>
      <xdr:rowOff>100152</xdr:rowOff>
    </xdr:to>
    <xdr:graphicFrame macro="">
      <xdr:nvGraphicFramePr>
        <xdr:cNvPr id="112" name="Gráfico 111">
          <a:extLst>
            <a:ext uri="{FF2B5EF4-FFF2-40B4-BE49-F238E27FC236}">
              <a16:creationId xmlns:a16="http://schemas.microsoft.com/office/drawing/2014/main" id="{00000000-0008-0000-0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xdr:col>
      <xdr:colOff>238125</xdr:colOff>
      <xdr:row>985</xdr:row>
      <xdr:rowOff>44122</xdr:rowOff>
    </xdr:from>
    <xdr:to>
      <xdr:col>12</xdr:col>
      <xdr:colOff>944097</xdr:colOff>
      <xdr:row>997</xdr:row>
      <xdr:rowOff>100152</xdr:rowOff>
    </xdr:to>
    <xdr:graphicFrame macro="">
      <xdr:nvGraphicFramePr>
        <xdr:cNvPr id="114" name="Gráfico 113">
          <a:extLst>
            <a:ext uri="{FF2B5EF4-FFF2-40B4-BE49-F238E27FC236}">
              <a16:creationId xmlns:a16="http://schemas.microsoft.com/office/drawing/2014/main" id="{00000000-0008-0000-04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xdr:col>
      <xdr:colOff>238125</xdr:colOff>
      <xdr:row>1760</xdr:row>
      <xdr:rowOff>44122</xdr:rowOff>
    </xdr:from>
    <xdr:to>
      <xdr:col>12</xdr:col>
      <xdr:colOff>944097</xdr:colOff>
      <xdr:row>1772</xdr:row>
      <xdr:rowOff>100152</xdr:rowOff>
    </xdr:to>
    <xdr:graphicFrame macro="">
      <xdr:nvGraphicFramePr>
        <xdr:cNvPr id="116" name="Gráfico 115">
          <a:extLst>
            <a:ext uri="{FF2B5EF4-FFF2-40B4-BE49-F238E27FC236}">
              <a16:creationId xmlns:a16="http://schemas.microsoft.com/office/drawing/2014/main" id="{00000000-0008-0000-0400-00007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3" name="Gráfico 2">
          <a:extLst>
            <a:ext uri="{FF2B5EF4-FFF2-40B4-BE49-F238E27FC236}">
              <a16:creationId xmlns:a16="http://schemas.microsoft.com/office/drawing/2014/main" id="{6EEDB61F-8A89-4356-8519-F6EDC622E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7</xdr:col>
      <xdr:colOff>179294</xdr:colOff>
      <xdr:row>1070</xdr:row>
      <xdr:rowOff>56029</xdr:rowOff>
    </xdr:from>
    <xdr:to>
      <xdr:col>12</xdr:col>
      <xdr:colOff>885266</xdr:colOff>
      <xdr:row>1082</xdr:row>
      <xdr:rowOff>112059</xdr:rowOff>
    </xdr:to>
    <xdr:graphicFrame macro="">
      <xdr:nvGraphicFramePr>
        <xdr:cNvPr id="5" name="Gráfico 4">
          <a:extLst>
            <a:ext uri="{FF2B5EF4-FFF2-40B4-BE49-F238E27FC236}">
              <a16:creationId xmlns:a16="http://schemas.microsoft.com/office/drawing/2014/main" id="{9BC2DC6A-6477-479E-ADBE-6A399A0B8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201705</xdr:colOff>
      <xdr:row>0</xdr:row>
      <xdr:rowOff>143998</xdr:rowOff>
    </xdr:from>
    <xdr:to>
      <xdr:col>3</xdr:col>
      <xdr:colOff>1201061</xdr:colOff>
      <xdr:row>4</xdr:row>
      <xdr:rowOff>59391</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9380" y="143998"/>
          <a:ext cx="2637656" cy="829793"/>
        </a:xfrm>
        <a:prstGeom prst="rect">
          <a:avLst/>
        </a:prstGeom>
      </xdr:spPr>
    </xdr:pic>
    <xdr:clientData/>
  </xdr:twoCellAnchor>
  <xdr:twoCellAnchor>
    <xdr:from>
      <xdr:col>7</xdr:col>
      <xdr:colOff>179294</xdr:colOff>
      <xdr:row>63</xdr:row>
      <xdr:rowOff>56029</xdr:rowOff>
    </xdr:from>
    <xdr:to>
      <xdr:col>12</xdr:col>
      <xdr:colOff>885266</xdr:colOff>
      <xdr:row>74</xdr:row>
      <xdr:rowOff>112059</xdr:rowOff>
    </xdr:to>
    <xdr:graphicFrame macro="">
      <xdr:nvGraphicFramePr>
        <xdr:cNvPr id="24" name="Gráfico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179294</xdr:colOff>
      <xdr:row>136</xdr:row>
      <xdr:rowOff>56029</xdr:rowOff>
    </xdr:from>
    <xdr:to>
      <xdr:col>12</xdr:col>
      <xdr:colOff>885266</xdr:colOff>
      <xdr:row>147</xdr:row>
      <xdr:rowOff>112059</xdr:rowOff>
    </xdr:to>
    <xdr:graphicFrame macro="">
      <xdr:nvGraphicFramePr>
        <xdr:cNvPr id="25" name="Gráfico 24">
          <a:extLst>
            <a:ext uri="{FF2B5EF4-FFF2-40B4-BE49-F238E27FC236}">
              <a16:creationId xmlns:a16="http://schemas.microsoft.com/office/drawing/2014/main" id="{00000000-0008-0000-05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179294</xdr:colOff>
      <xdr:row>170</xdr:row>
      <xdr:rowOff>56029</xdr:rowOff>
    </xdr:from>
    <xdr:to>
      <xdr:col>12</xdr:col>
      <xdr:colOff>885266</xdr:colOff>
      <xdr:row>181</xdr:row>
      <xdr:rowOff>112059</xdr:rowOff>
    </xdr:to>
    <xdr:graphicFrame macro="">
      <xdr:nvGraphicFramePr>
        <xdr:cNvPr id="26" name="Gráfico 25">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179294</xdr:colOff>
      <xdr:row>212</xdr:row>
      <xdr:rowOff>56029</xdr:rowOff>
    </xdr:from>
    <xdr:to>
      <xdr:col>12</xdr:col>
      <xdr:colOff>885266</xdr:colOff>
      <xdr:row>223</xdr:row>
      <xdr:rowOff>112059</xdr:rowOff>
    </xdr:to>
    <xdr:graphicFrame macro="">
      <xdr:nvGraphicFramePr>
        <xdr:cNvPr id="27" name="Gráfico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179294</xdr:colOff>
      <xdr:row>326</xdr:row>
      <xdr:rowOff>56029</xdr:rowOff>
    </xdr:from>
    <xdr:to>
      <xdr:col>12</xdr:col>
      <xdr:colOff>885266</xdr:colOff>
      <xdr:row>337</xdr:row>
      <xdr:rowOff>112059</xdr:rowOff>
    </xdr:to>
    <xdr:graphicFrame macro="">
      <xdr:nvGraphicFramePr>
        <xdr:cNvPr id="29" name="Gráfico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179294</xdr:colOff>
      <xdr:row>368</xdr:row>
      <xdr:rowOff>56029</xdr:rowOff>
    </xdr:from>
    <xdr:to>
      <xdr:col>12</xdr:col>
      <xdr:colOff>885266</xdr:colOff>
      <xdr:row>379</xdr:row>
      <xdr:rowOff>112059</xdr:rowOff>
    </xdr:to>
    <xdr:graphicFrame macro="">
      <xdr:nvGraphicFramePr>
        <xdr:cNvPr id="30" name="Gráfico 29">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179294</xdr:colOff>
      <xdr:row>410</xdr:row>
      <xdr:rowOff>56029</xdr:rowOff>
    </xdr:from>
    <xdr:to>
      <xdr:col>12</xdr:col>
      <xdr:colOff>885266</xdr:colOff>
      <xdr:row>421</xdr:row>
      <xdr:rowOff>112059</xdr:rowOff>
    </xdr:to>
    <xdr:graphicFrame macro="">
      <xdr:nvGraphicFramePr>
        <xdr:cNvPr id="31" name="Gráfico 3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179294</xdr:colOff>
      <xdr:row>446</xdr:row>
      <xdr:rowOff>56029</xdr:rowOff>
    </xdr:from>
    <xdr:to>
      <xdr:col>12</xdr:col>
      <xdr:colOff>885266</xdr:colOff>
      <xdr:row>457</xdr:row>
      <xdr:rowOff>112059</xdr:rowOff>
    </xdr:to>
    <xdr:graphicFrame macro="">
      <xdr:nvGraphicFramePr>
        <xdr:cNvPr id="32" name="Gráfico 31">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179294</xdr:colOff>
      <xdr:row>484</xdr:row>
      <xdr:rowOff>56029</xdr:rowOff>
    </xdr:from>
    <xdr:to>
      <xdr:col>12</xdr:col>
      <xdr:colOff>885266</xdr:colOff>
      <xdr:row>495</xdr:row>
      <xdr:rowOff>112059</xdr:rowOff>
    </xdr:to>
    <xdr:graphicFrame macro="">
      <xdr:nvGraphicFramePr>
        <xdr:cNvPr id="33" name="Gráfico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4" name="Gráfico 33">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179294</xdr:colOff>
      <xdr:row>525</xdr:row>
      <xdr:rowOff>56029</xdr:rowOff>
    </xdr:from>
    <xdr:to>
      <xdr:col>12</xdr:col>
      <xdr:colOff>885266</xdr:colOff>
      <xdr:row>536</xdr:row>
      <xdr:rowOff>112059</xdr:rowOff>
    </xdr:to>
    <xdr:graphicFrame macro="">
      <xdr:nvGraphicFramePr>
        <xdr:cNvPr id="35" name="Gráfico 34">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6" name="Gráfico 35">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179294</xdr:colOff>
      <xdr:row>561</xdr:row>
      <xdr:rowOff>56029</xdr:rowOff>
    </xdr:from>
    <xdr:to>
      <xdr:col>12</xdr:col>
      <xdr:colOff>885266</xdr:colOff>
      <xdr:row>572</xdr:row>
      <xdr:rowOff>112059</xdr:rowOff>
    </xdr:to>
    <xdr:graphicFrame macro="">
      <xdr:nvGraphicFramePr>
        <xdr:cNvPr id="37" name="Gráfico 36">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8" name="Gráfico 37">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179294</xdr:colOff>
      <xdr:row>597</xdr:row>
      <xdr:rowOff>56029</xdr:rowOff>
    </xdr:from>
    <xdr:to>
      <xdr:col>12</xdr:col>
      <xdr:colOff>885266</xdr:colOff>
      <xdr:row>608</xdr:row>
      <xdr:rowOff>112059</xdr:rowOff>
    </xdr:to>
    <xdr:graphicFrame macro="">
      <xdr:nvGraphicFramePr>
        <xdr:cNvPr id="39" name="Gráfico 38">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4" name="Gráfico 43">
          <a:extLst>
            <a:ext uri="{FF2B5EF4-FFF2-40B4-BE49-F238E27FC236}">
              <a16:creationId xmlns:a16="http://schemas.microsoft.com/office/drawing/2014/main" i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179294</xdr:colOff>
      <xdr:row>706</xdr:row>
      <xdr:rowOff>56029</xdr:rowOff>
    </xdr:from>
    <xdr:to>
      <xdr:col>12</xdr:col>
      <xdr:colOff>885266</xdr:colOff>
      <xdr:row>717</xdr:row>
      <xdr:rowOff>112059</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6" name="Gráfico 45">
          <a:extLst>
            <a:ext uri="{FF2B5EF4-FFF2-40B4-BE49-F238E27FC236}">
              <a16:creationId xmlns:a16="http://schemas.microsoft.com/office/drawing/2014/main" id="{00000000-0008-0000-05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179294</xdr:colOff>
      <xdr:row>778</xdr:row>
      <xdr:rowOff>56029</xdr:rowOff>
    </xdr:from>
    <xdr:to>
      <xdr:col>12</xdr:col>
      <xdr:colOff>885266</xdr:colOff>
      <xdr:row>789</xdr:row>
      <xdr:rowOff>112059</xdr:rowOff>
    </xdr:to>
    <xdr:graphicFrame macro="">
      <xdr:nvGraphicFramePr>
        <xdr:cNvPr id="47" name="Gráfico 46">
          <a:extLst>
            <a:ext uri="{FF2B5EF4-FFF2-40B4-BE49-F238E27FC236}">
              <a16:creationId xmlns:a16="http://schemas.microsoft.com/office/drawing/2014/main" id="{00000000-0008-0000-05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179294</xdr:colOff>
      <xdr:row>1813</xdr:row>
      <xdr:rowOff>56029</xdr:rowOff>
    </xdr:from>
    <xdr:to>
      <xdr:col>12</xdr:col>
      <xdr:colOff>885266</xdr:colOff>
      <xdr:row>1824</xdr:row>
      <xdr:rowOff>112059</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179294</xdr:colOff>
      <xdr:row>101</xdr:row>
      <xdr:rowOff>56029</xdr:rowOff>
    </xdr:from>
    <xdr:to>
      <xdr:col>12</xdr:col>
      <xdr:colOff>885266</xdr:colOff>
      <xdr:row>112</xdr:row>
      <xdr:rowOff>112059</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179294</xdr:colOff>
      <xdr:row>1777</xdr:row>
      <xdr:rowOff>56029</xdr:rowOff>
    </xdr:from>
    <xdr:to>
      <xdr:col>12</xdr:col>
      <xdr:colOff>885266</xdr:colOff>
      <xdr:row>1788</xdr:row>
      <xdr:rowOff>112059</xdr:rowOff>
    </xdr:to>
    <xdr:graphicFrame macro="">
      <xdr:nvGraphicFramePr>
        <xdr:cNvPr id="28" name="Gráfico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179294</xdr:colOff>
      <xdr:row>1737</xdr:row>
      <xdr:rowOff>56029</xdr:rowOff>
    </xdr:from>
    <xdr:to>
      <xdr:col>12</xdr:col>
      <xdr:colOff>885266</xdr:colOff>
      <xdr:row>1748</xdr:row>
      <xdr:rowOff>112059</xdr:rowOff>
    </xdr:to>
    <xdr:graphicFrame macro="">
      <xdr:nvGraphicFramePr>
        <xdr:cNvPr id="40" name="Gráfico 39">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179294</xdr:colOff>
      <xdr:row>1664</xdr:row>
      <xdr:rowOff>56029</xdr:rowOff>
    </xdr:from>
    <xdr:to>
      <xdr:col>12</xdr:col>
      <xdr:colOff>885266</xdr:colOff>
      <xdr:row>1675</xdr:row>
      <xdr:rowOff>112059</xdr:rowOff>
    </xdr:to>
    <xdr:graphicFrame macro="">
      <xdr:nvGraphicFramePr>
        <xdr:cNvPr id="41" name="Gráfico 40">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179294</xdr:colOff>
      <xdr:row>1699</xdr:row>
      <xdr:rowOff>56029</xdr:rowOff>
    </xdr:from>
    <xdr:to>
      <xdr:col>12</xdr:col>
      <xdr:colOff>885266</xdr:colOff>
      <xdr:row>1710</xdr:row>
      <xdr:rowOff>112059</xdr:rowOff>
    </xdr:to>
    <xdr:graphicFrame macro="">
      <xdr:nvGraphicFramePr>
        <xdr:cNvPr id="42" name="Gráfico 41">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179294</xdr:colOff>
      <xdr:row>1583</xdr:row>
      <xdr:rowOff>56029</xdr:rowOff>
    </xdr:from>
    <xdr:to>
      <xdr:col>12</xdr:col>
      <xdr:colOff>885266</xdr:colOff>
      <xdr:row>1594</xdr:row>
      <xdr:rowOff>112059</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179294</xdr:colOff>
      <xdr:row>1625</xdr:row>
      <xdr:rowOff>56029</xdr:rowOff>
    </xdr:from>
    <xdr:to>
      <xdr:col>12</xdr:col>
      <xdr:colOff>885266</xdr:colOff>
      <xdr:row>1636</xdr:row>
      <xdr:rowOff>112059</xdr:rowOff>
    </xdr:to>
    <xdr:graphicFrame macro="">
      <xdr:nvGraphicFramePr>
        <xdr:cNvPr id="50" name="Gráfico 49">
          <a:extLst>
            <a:ext uri="{FF2B5EF4-FFF2-40B4-BE49-F238E27FC236}">
              <a16:creationId xmlns:a16="http://schemas.microsoft.com/office/drawing/2014/main" i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179294</xdr:colOff>
      <xdr:row>635</xdr:row>
      <xdr:rowOff>56029</xdr:rowOff>
    </xdr:from>
    <xdr:to>
      <xdr:col>12</xdr:col>
      <xdr:colOff>885266</xdr:colOff>
      <xdr:row>646</xdr:row>
      <xdr:rowOff>112059</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179294</xdr:colOff>
      <xdr:row>814</xdr:row>
      <xdr:rowOff>56029</xdr:rowOff>
    </xdr:from>
    <xdr:to>
      <xdr:col>12</xdr:col>
      <xdr:colOff>885266</xdr:colOff>
      <xdr:row>825</xdr:row>
      <xdr:rowOff>112059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179294</xdr:colOff>
      <xdr:row>850</xdr:row>
      <xdr:rowOff>56029</xdr:rowOff>
    </xdr:from>
    <xdr:to>
      <xdr:col>12</xdr:col>
      <xdr:colOff>885266</xdr:colOff>
      <xdr:row>861</xdr:row>
      <xdr:rowOff>112059</xdr:rowOff>
    </xdr:to>
    <xdr:graphicFrame macro="">
      <xdr:nvGraphicFramePr>
        <xdr:cNvPr id="53" name="Gráfico 52">
          <a:extLst>
            <a:ext uri="{FF2B5EF4-FFF2-40B4-BE49-F238E27FC236}">
              <a16:creationId xmlns:a16="http://schemas.microsoft.com/office/drawing/2014/main" id="{00000000-0008-0000-0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179294</xdr:colOff>
      <xdr:row>894</xdr:row>
      <xdr:rowOff>56029</xdr:rowOff>
    </xdr:from>
    <xdr:to>
      <xdr:col>12</xdr:col>
      <xdr:colOff>885266</xdr:colOff>
      <xdr:row>905</xdr:row>
      <xdr:rowOff>112059</xdr:rowOff>
    </xdr:to>
    <xdr:graphicFrame macro="">
      <xdr:nvGraphicFramePr>
        <xdr:cNvPr id="54" name="Gráfico 53">
          <a:extLst>
            <a:ext uri="{FF2B5EF4-FFF2-40B4-BE49-F238E27FC236}">
              <a16:creationId xmlns:a16="http://schemas.microsoft.com/office/drawing/2014/main" id="{00000000-0008-0000-0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7</xdr:col>
      <xdr:colOff>179294</xdr:colOff>
      <xdr:row>941</xdr:row>
      <xdr:rowOff>56029</xdr:rowOff>
    </xdr:from>
    <xdr:to>
      <xdr:col>12</xdr:col>
      <xdr:colOff>885266</xdr:colOff>
      <xdr:row>952</xdr:row>
      <xdr:rowOff>112059</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179294</xdr:colOff>
      <xdr:row>1029</xdr:row>
      <xdr:rowOff>56029</xdr:rowOff>
    </xdr:from>
    <xdr:to>
      <xdr:col>12</xdr:col>
      <xdr:colOff>885266</xdr:colOff>
      <xdr:row>1040</xdr:row>
      <xdr:rowOff>112059</xdr:rowOff>
    </xdr:to>
    <xdr:graphicFrame macro="">
      <xdr:nvGraphicFramePr>
        <xdr:cNvPr id="56" name="Gráfico 55">
          <a:extLst>
            <a:ext uri="{FF2B5EF4-FFF2-40B4-BE49-F238E27FC236}">
              <a16:creationId xmlns:a16="http://schemas.microsoft.com/office/drawing/2014/main" id="{00000000-0008-0000-05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179294</xdr:colOff>
      <xdr:row>1069</xdr:row>
      <xdr:rowOff>56029</xdr:rowOff>
    </xdr:from>
    <xdr:to>
      <xdr:col>12</xdr:col>
      <xdr:colOff>885266</xdr:colOff>
      <xdr:row>1080</xdr:row>
      <xdr:rowOff>112059</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179294</xdr:colOff>
      <xdr:row>1112</xdr:row>
      <xdr:rowOff>56029</xdr:rowOff>
    </xdr:from>
    <xdr:to>
      <xdr:col>12</xdr:col>
      <xdr:colOff>885266</xdr:colOff>
      <xdr:row>1123</xdr:row>
      <xdr:rowOff>112059</xdr:rowOff>
    </xdr:to>
    <xdr:graphicFrame macro="">
      <xdr:nvGraphicFramePr>
        <xdr:cNvPr id="58" name="Gráfico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179294</xdr:colOff>
      <xdr:row>1187</xdr:row>
      <xdr:rowOff>56029</xdr:rowOff>
    </xdr:from>
    <xdr:to>
      <xdr:col>12</xdr:col>
      <xdr:colOff>885266</xdr:colOff>
      <xdr:row>1198</xdr:row>
      <xdr:rowOff>112059</xdr:rowOff>
    </xdr:to>
    <xdr:graphicFrame macro="">
      <xdr:nvGraphicFramePr>
        <xdr:cNvPr id="59" name="Gráfico 58">
          <a:extLst>
            <a:ext uri="{FF2B5EF4-FFF2-40B4-BE49-F238E27FC236}">
              <a16:creationId xmlns:a16="http://schemas.microsoft.com/office/drawing/2014/main" id="{00000000-0008-0000-0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179294</xdr:colOff>
      <xdr:row>1224</xdr:row>
      <xdr:rowOff>56029</xdr:rowOff>
    </xdr:from>
    <xdr:to>
      <xdr:col>12</xdr:col>
      <xdr:colOff>885266</xdr:colOff>
      <xdr:row>1235</xdr:row>
      <xdr:rowOff>112059</xdr:rowOff>
    </xdr:to>
    <xdr:graphicFrame macro="">
      <xdr:nvGraphicFramePr>
        <xdr:cNvPr id="60" name="Gráfico 59">
          <a:extLst>
            <a:ext uri="{FF2B5EF4-FFF2-40B4-BE49-F238E27FC236}">
              <a16:creationId xmlns:a16="http://schemas.microsoft.com/office/drawing/2014/main" id="{00000000-0008-0000-0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xdr:col>
      <xdr:colOff>179294</xdr:colOff>
      <xdr:row>1258</xdr:row>
      <xdr:rowOff>56029</xdr:rowOff>
    </xdr:from>
    <xdr:to>
      <xdr:col>12</xdr:col>
      <xdr:colOff>885266</xdr:colOff>
      <xdr:row>1269</xdr:row>
      <xdr:rowOff>112059</xdr:rowOff>
    </xdr:to>
    <xdr:graphicFrame macro="">
      <xdr:nvGraphicFramePr>
        <xdr:cNvPr id="61" name="Gráfico 60">
          <a:extLst>
            <a:ext uri="{FF2B5EF4-FFF2-40B4-BE49-F238E27FC236}">
              <a16:creationId xmlns:a16="http://schemas.microsoft.com/office/drawing/2014/main" i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xdr:col>
      <xdr:colOff>179294</xdr:colOff>
      <xdr:row>1301</xdr:row>
      <xdr:rowOff>56029</xdr:rowOff>
    </xdr:from>
    <xdr:to>
      <xdr:col>12</xdr:col>
      <xdr:colOff>885266</xdr:colOff>
      <xdr:row>1312</xdr:row>
      <xdr:rowOff>112059</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179294</xdr:colOff>
      <xdr:row>1343</xdr:row>
      <xdr:rowOff>56029</xdr:rowOff>
    </xdr:from>
    <xdr:to>
      <xdr:col>12</xdr:col>
      <xdr:colOff>885266</xdr:colOff>
      <xdr:row>1354</xdr:row>
      <xdr:rowOff>112059</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xdr:col>
      <xdr:colOff>179294</xdr:colOff>
      <xdr:row>1385</xdr:row>
      <xdr:rowOff>56029</xdr:rowOff>
    </xdr:from>
    <xdr:to>
      <xdr:col>12</xdr:col>
      <xdr:colOff>885266</xdr:colOff>
      <xdr:row>1396</xdr:row>
      <xdr:rowOff>112059</xdr:rowOff>
    </xdr:to>
    <xdr:graphicFrame macro="">
      <xdr:nvGraphicFramePr>
        <xdr:cNvPr id="64" name="Gráfico 63">
          <a:extLst>
            <a:ext uri="{FF2B5EF4-FFF2-40B4-BE49-F238E27FC236}">
              <a16:creationId xmlns:a16="http://schemas.microsoft.com/office/drawing/2014/main" id="{00000000-0008-0000-05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179294</xdr:colOff>
      <xdr:row>1427</xdr:row>
      <xdr:rowOff>56029</xdr:rowOff>
    </xdr:from>
    <xdr:to>
      <xdr:col>12</xdr:col>
      <xdr:colOff>885266</xdr:colOff>
      <xdr:row>1438</xdr:row>
      <xdr:rowOff>112059</xdr:rowOff>
    </xdr:to>
    <xdr:graphicFrame macro="">
      <xdr:nvGraphicFramePr>
        <xdr:cNvPr id="65" name="Gráfico 64">
          <a:extLst>
            <a:ext uri="{FF2B5EF4-FFF2-40B4-BE49-F238E27FC236}">
              <a16:creationId xmlns:a16="http://schemas.microsoft.com/office/drawing/2014/main" id="{00000000-0008-0000-05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xdr:col>
      <xdr:colOff>179294</xdr:colOff>
      <xdr:row>1473</xdr:row>
      <xdr:rowOff>56029</xdr:rowOff>
    </xdr:from>
    <xdr:to>
      <xdr:col>12</xdr:col>
      <xdr:colOff>885266</xdr:colOff>
      <xdr:row>1484</xdr:row>
      <xdr:rowOff>112059</xdr:rowOff>
    </xdr:to>
    <xdr:graphicFrame macro="">
      <xdr:nvGraphicFramePr>
        <xdr:cNvPr id="66" name="Gráfico 65">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179294</xdr:colOff>
      <xdr:row>1509</xdr:row>
      <xdr:rowOff>56029</xdr:rowOff>
    </xdr:from>
    <xdr:to>
      <xdr:col>12</xdr:col>
      <xdr:colOff>885266</xdr:colOff>
      <xdr:row>1520</xdr:row>
      <xdr:rowOff>112059</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179294</xdr:colOff>
      <xdr:row>1547</xdr:row>
      <xdr:rowOff>56029</xdr:rowOff>
    </xdr:from>
    <xdr:to>
      <xdr:col>12</xdr:col>
      <xdr:colOff>885266</xdr:colOff>
      <xdr:row>1558</xdr:row>
      <xdr:rowOff>112059</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100853</xdr:colOff>
      <xdr:row>994</xdr:row>
      <xdr:rowOff>67235</xdr:rowOff>
    </xdr:from>
    <xdr:to>
      <xdr:col>12</xdr:col>
      <xdr:colOff>963706</xdr:colOff>
      <xdr:row>1005</xdr:row>
      <xdr:rowOff>123265</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xdr:col>
      <xdr:colOff>246527</xdr:colOff>
      <xdr:row>137</xdr:row>
      <xdr:rowOff>123265</xdr:rowOff>
    </xdr:from>
    <xdr:to>
      <xdr:col>12</xdr:col>
      <xdr:colOff>952499</xdr:colOff>
      <xdr:row>148</xdr:row>
      <xdr:rowOff>179294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136961</xdr:colOff>
      <xdr:row>293</xdr:row>
      <xdr:rowOff>183029</xdr:rowOff>
    </xdr:from>
    <xdr:to>
      <xdr:col>12</xdr:col>
      <xdr:colOff>842933</xdr:colOff>
      <xdr:row>304</xdr:row>
      <xdr:rowOff>154392</xdr:rowOff>
    </xdr:to>
    <xdr:graphicFrame macro="">
      <xdr:nvGraphicFramePr>
        <xdr:cNvPr id="73" name="Gráfico 72">
          <a:extLst>
            <a:ext uri="{FF2B5EF4-FFF2-40B4-BE49-F238E27FC236}">
              <a16:creationId xmlns:a16="http://schemas.microsoft.com/office/drawing/2014/main" id="{00000000-0008-0000-05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257110</xdr:colOff>
      <xdr:row>293</xdr:row>
      <xdr:rowOff>80932</xdr:rowOff>
    </xdr:from>
    <xdr:to>
      <xdr:col>12</xdr:col>
      <xdr:colOff>963082</xdr:colOff>
      <xdr:row>304</xdr:row>
      <xdr:rowOff>94627</xdr:rowOff>
    </xdr:to>
    <xdr:graphicFrame macro="">
      <xdr:nvGraphicFramePr>
        <xdr:cNvPr id="74" name="Gráfico 73">
          <a:extLst>
            <a:ext uri="{FF2B5EF4-FFF2-40B4-BE49-F238E27FC236}">
              <a16:creationId xmlns:a16="http://schemas.microsoft.com/office/drawing/2014/main" id="{00000000-0008-0000-05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xdr:col>
      <xdr:colOff>179294</xdr:colOff>
      <xdr:row>1145</xdr:row>
      <xdr:rowOff>56029</xdr:rowOff>
    </xdr:from>
    <xdr:to>
      <xdr:col>12</xdr:col>
      <xdr:colOff>885266</xdr:colOff>
      <xdr:row>1156</xdr:row>
      <xdr:rowOff>112059</xdr:rowOff>
    </xdr:to>
    <xdr:graphicFrame macro="">
      <xdr:nvGraphicFramePr>
        <xdr:cNvPr id="78" name="Gráfico 77">
          <a:extLst>
            <a:ext uri="{FF2B5EF4-FFF2-40B4-BE49-F238E27FC236}">
              <a16:creationId xmlns:a16="http://schemas.microsoft.com/office/drawing/2014/main" id="{00000000-0008-0000-05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179294</xdr:colOff>
      <xdr:row>249</xdr:row>
      <xdr:rowOff>56029</xdr:rowOff>
    </xdr:from>
    <xdr:to>
      <xdr:col>12</xdr:col>
      <xdr:colOff>885266</xdr:colOff>
      <xdr:row>260</xdr:row>
      <xdr:rowOff>112059</xdr:rowOff>
    </xdr:to>
    <xdr:graphicFrame macro="">
      <xdr:nvGraphicFramePr>
        <xdr:cNvPr id="80" name="Gráfico 79">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ACB991A0-DFF2-435D-BC38-97E5EFAD9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179294</xdr:colOff>
      <xdr:row>742</xdr:row>
      <xdr:rowOff>56029</xdr:rowOff>
    </xdr:from>
    <xdr:to>
      <xdr:col>12</xdr:col>
      <xdr:colOff>885266</xdr:colOff>
      <xdr:row>753</xdr:row>
      <xdr:rowOff>112059</xdr:rowOff>
    </xdr:to>
    <xdr:graphicFrame macro="">
      <xdr:nvGraphicFramePr>
        <xdr:cNvPr id="10" name="Gráfico 9">
          <a:extLst>
            <a:ext uri="{FF2B5EF4-FFF2-40B4-BE49-F238E27FC236}">
              <a16:creationId xmlns:a16="http://schemas.microsoft.com/office/drawing/2014/main" id="{3098D936-E721-4F71-94FE-40F0C1905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179294</xdr:colOff>
      <xdr:row>672</xdr:row>
      <xdr:rowOff>56029</xdr:rowOff>
    </xdr:from>
    <xdr:to>
      <xdr:col>12</xdr:col>
      <xdr:colOff>885266</xdr:colOff>
      <xdr:row>683</xdr:row>
      <xdr:rowOff>112059</xdr:rowOff>
    </xdr:to>
    <xdr:graphicFrame macro="">
      <xdr:nvGraphicFramePr>
        <xdr:cNvPr id="4" name="Gráfico 3">
          <a:extLst>
            <a:ext uri="{FF2B5EF4-FFF2-40B4-BE49-F238E27FC236}">
              <a16:creationId xmlns:a16="http://schemas.microsoft.com/office/drawing/2014/main" id="{476FD99A-C9B3-4593-A33E-031CA32A7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190499</xdr:colOff>
      <xdr:row>0</xdr:row>
      <xdr:rowOff>110380</xdr:rowOff>
    </xdr:from>
    <xdr:to>
      <xdr:col>3</xdr:col>
      <xdr:colOff>1201061</xdr:colOff>
      <xdr:row>5</xdr:row>
      <xdr:rowOff>3362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9" y="110380"/>
          <a:ext cx="2639337" cy="826432"/>
        </a:xfrm>
        <a:prstGeom prst="rect">
          <a:avLst/>
        </a:prstGeom>
      </xdr:spPr>
    </xdr:pic>
    <xdr:clientData/>
  </xdr:twoCellAnchor>
  <xdr:twoCellAnchor>
    <xdr:from>
      <xdr:col>7</xdr:col>
      <xdr:colOff>179294</xdr:colOff>
      <xdr:row>28</xdr:row>
      <xdr:rowOff>56029</xdr:rowOff>
    </xdr:from>
    <xdr:to>
      <xdr:col>12</xdr:col>
      <xdr:colOff>885266</xdr:colOff>
      <xdr:row>39</xdr:row>
      <xdr:rowOff>112059</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151126</xdr:colOff>
      <xdr:row>0</xdr:row>
      <xdr:rowOff>118846</xdr:rowOff>
    </xdr:from>
    <xdr:to>
      <xdr:col>2</xdr:col>
      <xdr:colOff>656608</xdr:colOff>
      <xdr:row>4</xdr:row>
      <xdr:rowOff>22344</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26" y="118846"/>
          <a:ext cx="2181882" cy="713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67237</xdr:colOff>
      <xdr:row>0</xdr:row>
      <xdr:rowOff>156883</xdr:rowOff>
    </xdr:from>
    <xdr:to>
      <xdr:col>3</xdr:col>
      <xdr:colOff>672917</xdr:colOff>
      <xdr:row>4</xdr:row>
      <xdr:rowOff>2380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825" y="156883"/>
          <a:ext cx="2588560" cy="73958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angreco, Florencia" refreshedDate="44837.507017824071" createdVersion="5" refreshedVersion="5" minRefreshableVersion="3" recordCount="50" xr:uid="{00000000-000A-0000-FFFF-FFFF00000000}">
  <cacheSource type="worksheet">
    <worksheetSource name="Tabla2"/>
  </cacheSource>
  <cacheFields count="7">
    <cacheField name="Avalistas" numFmtId="0">
      <sharedItems containsBlank="1" count="49">
        <m/>
        <s v="ACINDAR PYMES S.G.R."/>
        <s v="AFFIDAVIT S.G.R."/>
        <s v="AFIANZAR S.G.R."/>
        <s v="AGROAVAL S.G.R."/>
        <s v="ALIANZA S.G.R."/>
        <s v="AMERICANA DE AVALES S.G.R."/>
        <s v="ARGENPYMES S.G.R."/>
        <s v="AVAL AR S.G.R."/>
        <s v="AVAL FEDERAL S.G.R."/>
        <s v="AVAL FERTIL S.G.R."/>
        <s v="AVAL GANADERO S.G.R."/>
        <s v="AVAL RURAL S.G.R."/>
        <s v="AVALES DEL CENTRO S.G.R."/>
        <s v="AVALUAR S.G.R."/>
        <s v="BANCO SUPERVIELLE S.A"/>
        <s v="BANCO DE SERVICIOS Y TRANSACCIONES S.A"/>
        <s v="BANCO MARIVA S.A."/>
        <s v="BLD AVALES S.G.R."/>
        <s v="CAMPO AVAL S.G.R."/>
        <s v="CARDINAL S.G.R."/>
        <s v="CONAVAL S.G.R."/>
        <s v="CONFEDERAR NEA S.G.R."/>
        <s v="CONFIABLES S.G.R."/>
        <s v="CRECER S.G.R."/>
        <s v="CREDITO ARGENTINO S.G.R."/>
        <s v="CUYO AVAL S.G.R."/>
        <s v="DON MARIO S.G.R."/>
        <s v="FIDEM S.G.R."/>
        <s v="FIDUS S.G.R."/>
        <s v="FINTECH S.G.R."/>
        <s v="GARANTIAS BIND S.G.R."/>
        <s v="GARANTIZAR S.G.R."/>
        <s v="INNOVA S.G.R."/>
        <s v="INTEGRA PYMES S.G.R."/>
        <s v="INTERAVALES S.G.R."/>
        <s v="INTERGARANTIAS S.G.R."/>
        <s v="LOS GROBO S.G.R."/>
        <s v="MILLS S.G.R."/>
        <s v="MOVIL S.G.R."/>
        <s v="NEUQUEN PYMES S.G.R."/>
        <s v="POTENCIAR S.G.R."/>
        <s v="PURO AVAL SG.R."/>
        <s v="PYME AVAL S.G.R."/>
        <s v="RESILIENCIA S.G.R."/>
        <s v="RIG AVALES S.G.R."/>
        <s v="SOLIDUM S.G.R."/>
        <s v="UNION S.G.R."/>
        <s v="VINCULOS S.G.R."/>
      </sharedItems>
    </cacheField>
    <cacheField name="ARS" numFmtId="0">
      <sharedItems containsString="0" containsBlank="1" containsNumber="1" containsInteger="1" minValue="0" maxValue="34"/>
    </cacheField>
    <cacheField name="USD" numFmtId="0">
      <sharedItems containsString="0" containsBlank="1" containsNumber="1" containsInteger="1" minValue="0" maxValue="21"/>
    </cacheField>
    <cacheField name="Cantidad Total" numFmtId="0">
      <sharedItems containsString="0" containsBlank="1" containsNumber="1" containsInteger="1" minValue="0" maxValue="55"/>
    </cacheField>
    <cacheField name="$ARS" numFmtId="3">
      <sharedItems containsString="0" containsBlank="1" containsNumber="1" minValue="0" maxValue="196185609.16499999"/>
    </cacheField>
    <cacheField name="$USD" numFmtId="3">
      <sharedItems containsMixedTypes="1" containsNumber="1" containsInteger="1" minValue="0" maxValue="450000"/>
    </cacheField>
    <cacheField name="Monto Total ARS" numFmtId="3">
      <sharedItems containsMixedTypes="1" containsNumber="1" minValue="0" maxValue="196185609.164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
  <r>
    <x v="0"/>
    <m/>
    <m/>
    <m/>
    <m/>
    <s v=""/>
    <s v=""/>
  </r>
  <r>
    <x v="1"/>
    <n v="13"/>
    <n v="8"/>
    <n v="21"/>
    <n v="47100000.000000142"/>
    <n v="170000"/>
    <n v="72105300.000000149"/>
  </r>
  <r>
    <x v="2"/>
    <n v="0"/>
    <n v="0"/>
    <n v="0"/>
    <n v="0"/>
    <n v="0"/>
    <n v="0"/>
  </r>
  <r>
    <x v="3"/>
    <n v="0"/>
    <n v="0"/>
    <n v="0"/>
    <n v="0"/>
    <n v="0"/>
    <n v="0"/>
  </r>
  <r>
    <x v="4"/>
    <n v="0"/>
    <n v="0"/>
    <n v="0"/>
    <n v="0"/>
    <n v="0"/>
    <n v="0"/>
  </r>
  <r>
    <x v="5"/>
    <n v="0"/>
    <n v="0"/>
    <n v="0"/>
    <n v="0"/>
    <n v="0"/>
    <n v="0"/>
  </r>
  <r>
    <x v="6"/>
    <n v="0"/>
    <n v="0"/>
    <n v="0"/>
    <n v="0"/>
    <n v="0"/>
    <n v="0"/>
  </r>
  <r>
    <x v="7"/>
    <n v="2"/>
    <n v="3"/>
    <n v="5"/>
    <n v="50000000"/>
    <n v="0"/>
    <n v="50000000"/>
  </r>
  <r>
    <x v="8"/>
    <n v="1"/>
    <n v="0"/>
    <n v="1"/>
    <n v="1.4156103134155273E-7"/>
    <n v="0"/>
    <n v="1.4156103134155273E-7"/>
  </r>
  <r>
    <x v="9"/>
    <n v="2"/>
    <n v="2"/>
    <n v="4"/>
    <n v="0"/>
    <n v="0"/>
    <n v="0"/>
  </r>
  <r>
    <x v="10"/>
    <n v="0"/>
    <n v="0"/>
    <n v="0"/>
    <n v="0"/>
    <n v="0"/>
    <n v="0"/>
  </r>
  <r>
    <x v="11"/>
    <n v="0"/>
    <n v="0"/>
    <n v="0"/>
    <n v="0"/>
    <n v="0"/>
    <n v="0"/>
  </r>
  <r>
    <x v="12"/>
    <n v="0"/>
    <n v="0"/>
    <n v="0"/>
    <n v="0"/>
    <n v="0"/>
    <n v="0"/>
  </r>
  <r>
    <x v="13"/>
    <n v="1"/>
    <n v="2"/>
    <n v="3"/>
    <n v="0"/>
    <n v="0"/>
    <n v="0"/>
  </r>
  <r>
    <x v="14"/>
    <n v="0"/>
    <n v="0"/>
    <n v="0"/>
    <n v="0"/>
    <n v="0"/>
    <n v="0"/>
  </r>
  <r>
    <x v="15"/>
    <n v="2"/>
    <n v="0"/>
    <n v="2"/>
    <n v="196185609.16499999"/>
    <n v="0"/>
    <n v="196185609.16499999"/>
  </r>
  <r>
    <x v="16"/>
    <n v="1"/>
    <n v="0"/>
    <n v="1"/>
    <n v="63085340.835000001"/>
    <n v="0"/>
    <n v="63085340.835000001"/>
  </r>
  <r>
    <x v="17"/>
    <n v="1"/>
    <n v="0"/>
    <n v="1"/>
    <n v="0"/>
    <n v="0"/>
    <n v="0"/>
  </r>
  <r>
    <x v="18"/>
    <n v="0"/>
    <n v="2"/>
    <n v="2"/>
    <n v="0"/>
    <n v="0"/>
    <n v="0"/>
  </r>
  <r>
    <x v="19"/>
    <n v="0"/>
    <n v="0"/>
    <n v="0"/>
    <n v="0"/>
    <n v="0"/>
    <n v="0"/>
  </r>
  <r>
    <x v="20"/>
    <n v="1"/>
    <n v="5"/>
    <n v="6"/>
    <n v="0"/>
    <n v="0"/>
    <n v="0"/>
  </r>
  <r>
    <x v="21"/>
    <n v="0"/>
    <n v="0"/>
    <n v="0"/>
    <n v="0"/>
    <n v="0"/>
    <n v="0"/>
  </r>
  <r>
    <x v="22"/>
    <n v="0"/>
    <n v="0"/>
    <n v="0"/>
    <n v="0"/>
    <n v="0"/>
    <n v="0"/>
  </r>
  <r>
    <x v="23"/>
    <n v="0"/>
    <n v="0"/>
    <n v="0"/>
    <n v="0"/>
    <n v="0"/>
    <n v="0"/>
  </r>
  <r>
    <x v="24"/>
    <n v="0"/>
    <n v="3"/>
    <n v="3"/>
    <n v="0"/>
    <n v="0"/>
    <n v="0"/>
  </r>
  <r>
    <x v="25"/>
    <n v="0"/>
    <n v="0"/>
    <n v="0"/>
    <n v="0"/>
    <n v="0"/>
    <n v="0"/>
  </r>
  <r>
    <x v="26"/>
    <n v="4"/>
    <n v="0"/>
    <n v="4"/>
    <n v="1.6987323760986329E-7"/>
    <n v="0"/>
    <n v="1.6987323760986329E-7"/>
  </r>
  <r>
    <x v="27"/>
    <n v="0"/>
    <n v="0"/>
    <n v="0"/>
    <n v="0"/>
    <n v="0"/>
    <n v="0"/>
  </r>
  <r>
    <x v="28"/>
    <n v="0"/>
    <n v="0"/>
    <n v="0"/>
    <n v="0"/>
    <n v="0"/>
    <n v="0"/>
  </r>
  <r>
    <x v="29"/>
    <n v="0"/>
    <n v="0"/>
    <n v="0"/>
    <n v="0"/>
    <n v="0"/>
    <n v="0"/>
  </r>
  <r>
    <x v="30"/>
    <n v="0"/>
    <n v="0"/>
    <n v="0"/>
    <n v="0"/>
    <n v="0"/>
    <n v="0"/>
  </r>
  <r>
    <x v="31"/>
    <n v="7"/>
    <n v="4"/>
    <n v="11"/>
    <n v="67500000"/>
    <n v="450000"/>
    <n v="133690500"/>
  </r>
  <r>
    <x v="32"/>
    <n v="34"/>
    <n v="21"/>
    <n v="55"/>
    <n v="163520666.66666678"/>
    <n v="0"/>
    <n v="163520666.66666678"/>
  </r>
  <r>
    <x v="33"/>
    <n v="0"/>
    <n v="0"/>
    <n v="0"/>
    <n v="0"/>
    <n v="0"/>
    <n v="0"/>
  </r>
  <r>
    <x v="34"/>
    <n v="0"/>
    <n v="0"/>
    <n v="0"/>
    <n v="0"/>
    <n v="0"/>
    <n v="0"/>
  </r>
  <r>
    <x v="35"/>
    <n v="0"/>
    <n v="0"/>
    <n v="0"/>
    <n v="0"/>
    <n v="0"/>
    <n v="0"/>
  </r>
  <r>
    <x v="36"/>
    <n v="8"/>
    <n v="0"/>
    <n v="8"/>
    <n v="12000000"/>
    <n v="0"/>
    <n v="12000000"/>
  </r>
  <r>
    <x v="37"/>
    <n v="0"/>
    <n v="0"/>
    <n v="0"/>
    <n v="0"/>
    <n v="0"/>
    <n v="0"/>
  </r>
  <r>
    <x v="38"/>
    <n v="0"/>
    <n v="0"/>
    <n v="0"/>
    <n v="0"/>
    <n v="0"/>
    <n v="0"/>
  </r>
  <r>
    <x v="39"/>
    <n v="0"/>
    <n v="0"/>
    <n v="0"/>
    <n v="0"/>
    <n v="0"/>
    <n v="0"/>
  </r>
  <r>
    <x v="40"/>
    <n v="0"/>
    <n v="0"/>
    <n v="0"/>
    <n v="0"/>
    <n v="0"/>
    <n v="0"/>
  </r>
  <r>
    <x v="41"/>
    <n v="1"/>
    <n v="1"/>
    <n v="2"/>
    <n v="0"/>
    <n v="0"/>
    <n v="0"/>
  </r>
  <r>
    <x v="42"/>
    <n v="0"/>
    <n v="0"/>
    <n v="0"/>
    <n v="0"/>
    <n v="0"/>
    <n v="0"/>
  </r>
  <r>
    <x v="43"/>
    <n v="8"/>
    <n v="0"/>
    <n v="8"/>
    <n v="0"/>
    <n v="0"/>
    <n v="0"/>
  </r>
  <r>
    <x v="44"/>
    <n v="0"/>
    <n v="0"/>
    <n v="0"/>
    <n v="0"/>
    <n v="0"/>
    <n v="0"/>
  </r>
  <r>
    <x v="45"/>
    <n v="0"/>
    <n v="0"/>
    <n v="0"/>
    <n v="0"/>
    <n v="0"/>
    <n v="0"/>
  </r>
  <r>
    <x v="46"/>
    <n v="0"/>
    <n v="0"/>
    <n v="0"/>
    <n v="0"/>
    <n v="0"/>
    <n v="0"/>
  </r>
  <r>
    <x v="47"/>
    <n v="0"/>
    <n v="0"/>
    <n v="0"/>
    <n v="0"/>
    <n v="0"/>
    <n v="0"/>
  </r>
  <r>
    <x v="48"/>
    <n v="0"/>
    <n v="0"/>
    <n v="0"/>
    <n v="0"/>
    <n v="0"/>
    <n v="0"/>
  </r>
  <r>
    <x v="0"/>
    <n v="2"/>
    <n v="1"/>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 dinámica2"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9">
  <location ref="B21:C31"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showAll="0" sumSubtotal="1"/>
    <pivotField showAll="0"/>
    <pivotField showAll="0"/>
    <pivotField dataField="1" showAll="0"/>
  </pivotFields>
  <rowFields count="1">
    <field x="0"/>
  </rowFields>
  <rowItems count="10">
    <i>
      <x v="47"/>
    </i>
    <i>
      <x v="29"/>
    </i>
    <i>
      <x v="28"/>
    </i>
    <i>
      <x/>
    </i>
    <i>
      <x v="48"/>
    </i>
    <i>
      <x v="6"/>
    </i>
    <i>
      <x v="33"/>
    </i>
    <i>
      <x v="23"/>
    </i>
    <i>
      <x v="7"/>
    </i>
    <i t="grand">
      <x/>
    </i>
  </rowItems>
  <colItems count="1">
    <i/>
  </colItems>
  <dataFields count="1">
    <dataField name="Suma de Monto Total ARS" fld="6" showDataAs="percentOfTotal" baseField="0" baseItem="1" numFmtId="9"/>
  </dataFields>
  <formats count="22">
    <format dxfId="105">
      <pivotArea type="all" dataOnly="0" outline="0" fieldPosition="0"/>
    </format>
    <format dxfId="104">
      <pivotArea outline="0" collapsedLevelsAreSubtotals="1" fieldPosition="0"/>
    </format>
    <format dxfId="103">
      <pivotArea field="0" type="button" dataOnly="0" labelOnly="1" outline="0" axis="axisRow" fieldPosition="0"/>
    </format>
    <format dxfId="102">
      <pivotArea dataOnly="0" labelOnly="1" outline="0" axis="axisValues" fieldPosition="0"/>
    </format>
    <format dxfId="101">
      <pivotArea dataOnly="0" labelOnly="1" fieldPosition="0">
        <references count="1">
          <reference field="0" count="15">
            <x v="0"/>
            <x v="6"/>
            <x v="7"/>
            <x v="8"/>
            <x v="12"/>
            <x v="14"/>
            <x v="15"/>
            <x v="17"/>
            <x v="21"/>
            <x v="23"/>
            <x v="28"/>
            <x v="29"/>
            <x v="33"/>
            <x v="38"/>
            <x v="40"/>
          </reference>
        </references>
      </pivotArea>
    </format>
    <format dxfId="100">
      <pivotArea dataOnly="0" labelOnly="1" grandRow="1" outline="0" fieldPosition="0"/>
    </format>
    <format dxfId="99">
      <pivotArea type="all" dataOnly="0" outline="0" fieldPosition="0"/>
    </format>
    <format dxfId="98">
      <pivotArea outline="0" collapsedLevelsAreSubtotals="1" fieldPosition="0"/>
    </format>
    <format dxfId="97">
      <pivotArea field="0" type="button" dataOnly="0" labelOnly="1" outline="0" axis="axisRow" fieldPosition="0"/>
    </format>
    <format dxfId="96">
      <pivotArea dataOnly="0" labelOnly="1" outline="0" axis="axisValues" fieldPosition="0"/>
    </format>
    <format dxfId="95">
      <pivotArea dataOnly="0" labelOnly="1" fieldPosition="0">
        <references count="1">
          <reference field="0" count="15">
            <x v="0"/>
            <x v="6"/>
            <x v="7"/>
            <x v="8"/>
            <x v="12"/>
            <x v="14"/>
            <x v="15"/>
            <x v="17"/>
            <x v="21"/>
            <x v="23"/>
            <x v="28"/>
            <x v="29"/>
            <x v="33"/>
            <x v="38"/>
            <x v="40"/>
          </reference>
        </references>
      </pivotArea>
    </format>
    <format dxfId="94">
      <pivotArea dataOnly="0" labelOnly="1" grandRow="1" outline="0" fieldPosition="0"/>
    </format>
    <format dxfId="93">
      <pivotArea type="all" dataOnly="0" outline="0" fieldPosition="0"/>
    </format>
    <format dxfId="92">
      <pivotArea outline="0" collapsedLevelsAreSubtotals="1" fieldPosition="0"/>
    </format>
    <format dxfId="91">
      <pivotArea field="0" type="button" dataOnly="0" labelOnly="1" outline="0" axis="axisRow" fieldPosition="0"/>
    </format>
    <format dxfId="90">
      <pivotArea dataOnly="0" labelOnly="1" outline="0" axis="axisValues" fieldPosition="0"/>
    </format>
    <format dxfId="89">
      <pivotArea dataOnly="0" labelOnly="1" fieldPosition="0">
        <references count="1">
          <reference field="0" count="15">
            <x v="0"/>
            <x v="6"/>
            <x v="7"/>
            <x v="8"/>
            <x v="12"/>
            <x v="14"/>
            <x v="15"/>
            <x v="17"/>
            <x v="21"/>
            <x v="23"/>
            <x v="28"/>
            <x v="29"/>
            <x v="33"/>
            <x v="38"/>
            <x v="40"/>
          </reference>
        </references>
      </pivotArea>
    </format>
    <format dxfId="88">
      <pivotArea dataOnly="0" labelOnly="1" grandRow="1" outline="0" fieldPosition="0"/>
    </format>
    <format dxfId="87">
      <pivotArea collapsedLevelsAreSubtotals="1" fieldPosition="0">
        <references count="1">
          <reference field="0" count="15">
            <x v="0"/>
            <x v="6"/>
            <x v="7"/>
            <x v="8"/>
            <x v="12"/>
            <x v="14"/>
            <x v="15"/>
            <x v="17"/>
            <x v="21"/>
            <x v="23"/>
            <x v="28"/>
            <x v="29"/>
            <x v="33"/>
            <x v="38"/>
            <x v="40"/>
          </reference>
        </references>
      </pivotArea>
    </format>
    <format dxfId="86">
      <pivotArea collapsedLevelsAreSubtotals="1" fieldPosition="0">
        <references count="1">
          <reference field="0" count="1">
            <x v="28"/>
          </reference>
        </references>
      </pivotArea>
    </format>
    <format dxfId="85">
      <pivotArea grandRow="1" outline="0" collapsedLevelsAreSubtotals="1" fieldPosition="0"/>
    </format>
    <format dxfId="84">
      <pivotArea outline="0" fieldPosition="0">
        <references count="1">
          <reference field="4294967294" count="1">
            <x v="0"/>
          </reference>
        </references>
      </pivotArea>
    </format>
  </formats>
  <chartFormats count="1">
    <chartFormat chart="1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3"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3">
  <location ref="B3:C20" firstHeaderRow="1" firstDataRow="1" firstDataCol="1"/>
  <pivotFields count="7">
    <pivotField axis="axisRow" showAll="0" measureFilter="1" sortType="descending">
      <items count="50">
        <item x="1"/>
        <item x="2"/>
        <item x="3"/>
        <item x="4"/>
        <item x="5"/>
        <item x="6"/>
        <item x="7"/>
        <item x="8"/>
        <item x="9"/>
        <item x="10"/>
        <item x="11"/>
        <item x="12"/>
        <item x="13"/>
        <item x="14"/>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15"/>
        <item x="16"/>
        <item t="default"/>
      </items>
      <autoSortScope>
        <pivotArea dataOnly="0" outline="0" fieldPosition="0">
          <references count="1">
            <reference field="4294967294" count="1" selected="0">
              <x v="0"/>
            </reference>
          </references>
        </pivotArea>
      </autoSortScope>
    </pivotField>
    <pivotField showAll="0"/>
    <pivotField showAll="0"/>
    <pivotField dataField="1" showAll="0" sumSubtotal="1"/>
    <pivotField showAll="0"/>
    <pivotField showAll="0"/>
    <pivotField showAll="0"/>
  </pivotFields>
  <rowFields count="1">
    <field x="0"/>
  </rowFields>
  <rowItems count="18">
    <i>
      <x v="29"/>
    </i>
    <i>
      <x/>
    </i>
    <i>
      <x v="28"/>
    </i>
    <i>
      <x v="40"/>
    </i>
    <i>
      <x v="33"/>
    </i>
    <i>
      <x v="17"/>
    </i>
    <i>
      <x v="6"/>
    </i>
    <i>
      <x v="8"/>
    </i>
    <i>
      <x v="23"/>
    </i>
    <i>
      <x v="12"/>
    </i>
    <i>
      <x v="21"/>
    </i>
    <i>
      <x v="15"/>
    </i>
    <i>
      <x v="47"/>
    </i>
    <i>
      <x v="38"/>
    </i>
    <i>
      <x v="7"/>
    </i>
    <i>
      <x v="48"/>
    </i>
    <i>
      <x v="14"/>
    </i>
    <i t="grand">
      <x/>
    </i>
  </rowItems>
  <colItems count="1">
    <i/>
  </colItems>
  <dataFields count="1">
    <dataField name="Suma de Cantidad Total" fld="3" showDataAs="percentOfTotal" baseField="0" baseItem="40" numFmtId="9"/>
  </dataFields>
  <formats count="21">
    <format dxfId="126">
      <pivotArea collapsedLevelsAreSubtotals="1" fieldPosition="0">
        <references count="1">
          <reference field="0" count="15">
            <x v="0"/>
            <x v="6"/>
            <x v="7"/>
            <x v="8"/>
            <x v="12"/>
            <x v="14"/>
            <x v="15"/>
            <x v="17"/>
            <x v="21"/>
            <x v="23"/>
            <x v="28"/>
            <x v="29"/>
            <x v="33"/>
            <x v="38"/>
            <x v="40"/>
          </reference>
        </references>
      </pivotArea>
    </format>
    <format dxfId="125">
      <pivotArea type="all" dataOnly="0" outline="0" fieldPosition="0"/>
    </format>
    <format dxfId="124">
      <pivotArea outline="0" collapsedLevelsAreSubtotals="1" fieldPosition="0"/>
    </format>
    <format dxfId="123">
      <pivotArea field="0" type="button" dataOnly="0" labelOnly="1" outline="0" axis="axisRow" fieldPosition="0"/>
    </format>
    <format dxfId="122">
      <pivotArea dataOnly="0" labelOnly="1" outline="0" axis="axisValues" fieldPosition="0"/>
    </format>
    <format dxfId="121">
      <pivotArea dataOnly="0" labelOnly="1" fieldPosition="0">
        <references count="1">
          <reference field="0" count="15">
            <x v="0"/>
            <x v="6"/>
            <x v="7"/>
            <x v="8"/>
            <x v="12"/>
            <x v="14"/>
            <x v="15"/>
            <x v="17"/>
            <x v="21"/>
            <x v="23"/>
            <x v="28"/>
            <x v="29"/>
            <x v="33"/>
            <x v="38"/>
            <x v="40"/>
          </reference>
        </references>
      </pivotArea>
    </format>
    <format dxfId="120">
      <pivotArea dataOnly="0" labelOnly="1" grandRow="1" outline="0" fieldPosition="0"/>
    </format>
    <format dxfId="119">
      <pivotArea type="all" dataOnly="0" outline="0" fieldPosition="0"/>
    </format>
    <format dxfId="118">
      <pivotArea outline="0" collapsedLevelsAreSubtotals="1" fieldPosition="0"/>
    </format>
    <format dxfId="117">
      <pivotArea field="0" type="button" dataOnly="0" labelOnly="1" outline="0" axis="axisRow" fieldPosition="0"/>
    </format>
    <format dxfId="116">
      <pivotArea dataOnly="0" labelOnly="1" outline="0" axis="axisValues" fieldPosition="0"/>
    </format>
    <format dxfId="115">
      <pivotArea dataOnly="0" labelOnly="1" fieldPosition="0">
        <references count="1">
          <reference field="0" count="15">
            <x v="0"/>
            <x v="6"/>
            <x v="7"/>
            <x v="8"/>
            <x v="12"/>
            <x v="14"/>
            <x v="15"/>
            <x v="17"/>
            <x v="21"/>
            <x v="23"/>
            <x v="28"/>
            <x v="29"/>
            <x v="33"/>
            <x v="38"/>
            <x v="40"/>
          </reference>
        </references>
      </pivotArea>
    </format>
    <format dxfId="114">
      <pivotArea dataOnly="0" labelOnly="1" grandRow="1" outline="0" fieldPosition="0"/>
    </format>
    <format dxfId="113">
      <pivotArea type="all" dataOnly="0" outline="0" fieldPosition="0"/>
    </format>
    <format dxfId="112">
      <pivotArea outline="0" collapsedLevelsAreSubtotals="1" fieldPosition="0"/>
    </format>
    <format dxfId="111">
      <pivotArea field="0" type="button" dataOnly="0" labelOnly="1" outline="0" axis="axisRow" fieldPosition="0"/>
    </format>
    <format dxfId="110">
      <pivotArea dataOnly="0" labelOnly="1" outline="0" axis="axisValues" fieldPosition="0"/>
    </format>
    <format dxfId="109">
      <pivotArea dataOnly="0" labelOnly="1" fieldPosition="0">
        <references count="1">
          <reference field="0" count="15">
            <x v="0"/>
            <x v="6"/>
            <x v="7"/>
            <x v="8"/>
            <x v="12"/>
            <x v="14"/>
            <x v="15"/>
            <x v="17"/>
            <x v="21"/>
            <x v="23"/>
            <x v="28"/>
            <x v="29"/>
            <x v="33"/>
            <x v="38"/>
            <x v="40"/>
          </reference>
        </references>
      </pivotArea>
    </format>
    <format dxfId="108">
      <pivotArea dataOnly="0" labelOnly="1" grandRow="1" outline="0" fieldPosition="0"/>
    </format>
    <format dxfId="107">
      <pivotArea grandRow="1" outline="0" collapsedLevelsAreSubtotals="1" fieldPosition="0"/>
    </format>
    <format dxfId="106">
      <pivotArea outline="0" fieldPosition="0">
        <references count="1">
          <reference field="4294967294" count="1">
            <x v="0"/>
          </reference>
        </references>
      </pivotArea>
    </format>
  </format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valueNotEqual" evalOrder="-1" id="2"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C11:I63" totalsRowCount="1" headerRowDxfId="83" dataDxfId="82" totalsRowDxfId="81" totalsRowBorderDxfId="80">
  <autoFilter ref="C11:I62" xr:uid="{00000000-0009-0000-0100-000002000000}"/>
  <sortState xmlns:xlrd2="http://schemas.microsoft.com/office/spreadsheetml/2017/richdata2" ref="C12:I62">
    <sortCondition ref="C11:C62"/>
  </sortState>
  <tableColumns count="7">
    <tableColumn id="1" xr3:uid="{00000000-0010-0000-0000-000001000000}" name="Avalistas" totalsRowLabel="Total" dataDxfId="79" totalsRowDxfId="78"/>
    <tableColumn id="2" xr3:uid="{00000000-0010-0000-0000-000002000000}" name="ARS" totalsRowFunction="sum" dataDxfId="77" totalsRowDxfId="76">
      <calculatedColumnFormula>+IF(COUNTIF(ARS!$D:$D,Tabla2[[#This Row],[Avalistas]])=0,"",COUNTIF(ARS!$D:$D,Tabla2[[#This Row],[Avalistas]]))</calculatedColumnFormula>
    </tableColumn>
    <tableColumn id="3" xr3:uid="{00000000-0010-0000-0000-000003000000}" name="USD" totalsRowFunction="sum" dataDxfId="75" totalsRowDxfId="74"/>
    <tableColumn id="6" xr3:uid="{00000000-0010-0000-0000-000006000000}" name="Cantidad Total" totalsRowFunction="sum" dataDxfId="73" totalsRowDxfId="72">
      <calculatedColumnFormula>SUM(Tabla2[[#This Row],[ARS]:[USD]])</calculatedColumnFormula>
    </tableColumn>
    <tableColumn id="4" xr3:uid="{00000000-0010-0000-0000-000004000000}" name="$ARS" totalsRowFunction="sum" dataDxfId="71" totalsRowDxfId="70">
      <calculatedColumnFormula>+IF(SUMIF(ARS!$D:$D,Tabla2[[#This Row],[Avalistas]],ARS!$F:$F),"",SUMIF(ARS!$D:$D,Tabla2[[#This Row],[Avalistas]],ARS!$F:$F))</calculatedColumnFormula>
    </tableColumn>
    <tableColumn id="5" xr3:uid="{00000000-0010-0000-0000-000005000000}" name="$USD" totalsRowFunction="sum" dataDxfId="69" totalsRowDxfId="68">
      <calculatedColumnFormula>+IF(SUMIF(ARS!$D:$D,Tabla2[[#This Row],[Avalistas]],ARS!$F:$F)=0,"",SUMIF(ARS!$D:$D,Tabla2[[#This Row],[Avalistas]],ARS!$F:$F))</calculatedColumnFormula>
    </tableColumn>
    <tableColumn id="7" xr3:uid="{00000000-0010-0000-0000-000007000000}" name="Monto Total ARS" totalsRowFunction="sum" dataDxfId="67" totalsRowDxfId="66">
      <calculatedColumnFormula>+IF(SUM(Tabla2[[#This Row],[$ARS]:[$USD]])=0,"",Tabla2[[#This Row],[$ARS]]+Tabla2[[#This Row],[$USD]])</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A1:P163" totalsRowCount="1" headerRowDxfId="65" dataDxfId="63" headerRowBorderDxfId="64" tableBorderDxfId="62" totalsRowBorderDxfId="61">
  <autoFilter ref="A1:P162" xr:uid="{00000000-0009-0000-0100-000004000000}"/>
  <sortState xmlns:xlrd2="http://schemas.microsoft.com/office/spreadsheetml/2017/richdata2" ref="A2:P162">
    <sortCondition ref="A1:A162"/>
  </sortState>
  <tableColumns count="16">
    <tableColumn id="1" xr3:uid="{00000000-0010-0000-0100-000001000000}" name="Emisora" totalsRowLabel="Total" dataDxfId="60" totalsRowDxfId="59"/>
    <tableColumn id="9" xr3:uid="{00000000-0010-0000-0100-000009000000}" name="CUIT" dataDxfId="58" totalsRowDxfId="57"/>
    <tableColumn id="2" xr3:uid="{00000000-0010-0000-0100-000002000000}" name="Emision" dataDxfId="56" totalsRowDxfId="55"/>
    <tableColumn id="3" xr3:uid="{00000000-0010-0000-0100-000003000000}" name="Moneda" dataDxfId="54" totalsRowDxfId="53"/>
    <tableColumn id="4" xr3:uid="{00000000-0010-0000-0100-000004000000}" name="Tipo" totalsRowFunction="count" dataDxfId="52" totalsRowDxfId="51"/>
    <tableColumn id="8" xr3:uid="{00000000-0010-0000-0100-000008000000}" name="ENTIDADES DE GARANTIA" dataDxfId="50" totalsRowDxfId="49"/>
    <tableColumn id="21" xr3:uid="{00000000-0010-0000-0100-000015000000}" name="% GARANTIZADO" dataDxfId="48" totalsRowDxfId="47"/>
    <tableColumn id="5" xr3:uid="{00000000-0010-0000-0100-000005000000}" name="Emisión" dataDxfId="46" totalsRowDxfId="45"/>
    <tableColumn id="6" xr3:uid="{00000000-0010-0000-0100-000006000000}" name="Vencimiento" dataDxfId="44" totalsRowDxfId="43"/>
    <tableColumn id="14" xr3:uid="{00000000-0010-0000-0100-00000E000000}" name="Valor Nominal " totalsRowFunction="sum" dataDxfId="42" totalsRowDxfId="41"/>
    <tableColumn id="15" xr3:uid="{00000000-0010-0000-0100-00000F000000}" name="Valor Residual ARS" totalsRowFunction="sum" dataDxfId="40" totalsRowDxfId="39">
      <calculatedColumnFormula>+SUMIF(ARS!$D:$D,Tabla4[[#This Row],[Emision]],ARS!$G:$G)</calculatedColumnFormula>
    </tableColumn>
    <tableColumn id="7" xr3:uid="{00000000-0010-0000-0100-000007000000}" name="Valor Residual USD" totalsRowFunction="sum" dataDxfId="38" totalsRowDxfId="37">
      <calculatedColumnFormula>+SUMIF(USD!$D:$D,Tabla4[[#This Row],[Emision]],USD!$G:$G)</calculatedColumnFormula>
    </tableColumn>
    <tableColumn id="11" xr3:uid="{00000000-0010-0000-0100-00000B000000}" name="Valor Residual ARS x SGR" dataDxfId="36" totalsRowDxfId="35">
      <calculatedColumnFormula>+Tabla4[[#This Row],[Valor Residual ARS]]*Tabla4[[#This Row],[% GARANTIZADO]]</calculatedColumnFormula>
    </tableColumn>
    <tableColumn id="10" xr3:uid="{00000000-0010-0000-0100-00000A000000}" name="Valor Residual USD x SGR" dataDxfId="34" totalsRowDxfId="33">
      <calculatedColumnFormula>+Tabla4[[#This Row],[Valor Residual USD]]*Tabla4[[#This Row],[% GARANTIZADO]]</calculatedColumnFormula>
    </tableColumn>
    <tableColumn id="18" xr3:uid="{00000000-0010-0000-0100-000012000000}" name="ARS" dataDxfId="32" totalsRowDxfId="31">
      <calculatedColumnFormula>+IF(Tabla4[[#This Row],[Valor Residual ARS]]&gt;0,CONCATENATE(Tabla4[[#This Row],[Tipo]],""),CONCATENATE(Tabla4[[#This Row],[Tipo]],"vencida"))</calculatedColumnFormula>
    </tableColumn>
    <tableColumn id="17" xr3:uid="{00000000-0010-0000-0100-000011000000}" name="USD" dataDxfId="30" totalsRowDxfId="29">
      <calculatedColumnFormula>+IF(Tabla4[[#This Row],[Valor Residual USD]]&gt;0,CONCATENATE(Tabla4[[#This Row],[Tipo]],""),CONCATENATE(Tabla4[[#This Row],[Tipo]],"vencida"))</calculatedColumnFormula>
    </tableColumn>
  </tableColumns>
  <tableStyleInfo name="TableStyleMedium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 displayName="Tabla1" ref="C7:M75" totalsRowShown="0" headerRowDxfId="28" dataDxfId="27">
  <autoFilter ref="C7:M75" xr:uid="{00000000-0009-0000-0100-000001000000}"/>
  <sortState xmlns:xlrd2="http://schemas.microsoft.com/office/spreadsheetml/2017/richdata2" ref="C8:M57">
    <sortCondition ref="C7:C57"/>
  </sortState>
  <tableColumns count="11">
    <tableColumn id="1" xr3:uid="{00000000-0010-0000-0200-000001000000}" name="ARS" dataDxfId="26"/>
    <tableColumn id="2" xr3:uid="{00000000-0010-0000-0200-000002000000}" name="Tipo" dataDxfId="25"/>
    <tableColumn id="3" xr3:uid="{00000000-0010-0000-0200-000003000000}" name="Emisión" dataDxfId="24"/>
    <tableColumn id="4" xr3:uid="{00000000-0010-0000-0200-000004000000}" name="Vencimiento" dataDxfId="23"/>
    <tableColumn id="5" xr3:uid="{00000000-0010-0000-0200-000005000000}" name="Valor Nominal " dataDxfId="22"/>
    <tableColumn id="6" xr3:uid="{00000000-0010-0000-0200-000006000000}" name="Valor Residual" dataDxfId="21" dataCellStyle="Porcentaje"/>
    <tableColumn id="7" xr3:uid="{00000000-0010-0000-0200-000007000000}" name="SGR 1" dataDxfId="20" dataCellStyle="Porcentaje"/>
    <tableColumn id="9" xr3:uid="{00000000-0010-0000-0200-000009000000}" name="SGR 2" dataDxfId="19"/>
    <tableColumn id="10" xr3:uid="{00000000-0010-0000-0200-00000A000000}" name="SGR 3" dataDxfId="18"/>
    <tableColumn id="11" xr3:uid="{00000000-0010-0000-0200-00000B000000}" name="SGR 4" dataDxfId="17"/>
    <tableColumn id="12" xr3:uid="{00000000-0010-0000-0200-00000C000000}" name="SGR 5" dataDxfId="16"/>
  </tableColumns>
  <tableStyleInfo name="TableStyleLight8"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3" displayName="Tabla3" ref="C79:M119" totalsRowShown="0" headerRowDxfId="15" dataDxfId="14">
  <autoFilter ref="C79:M119" xr:uid="{00000000-0009-0000-0100-000003000000}"/>
  <sortState xmlns:xlrd2="http://schemas.microsoft.com/office/spreadsheetml/2017/richdata2" ref="C80:M119">
    <sortCondition ref="C79:C119"/>
  </sortState>
  <tableColumns count="11">
    <tableColumn id="1" xr3:uid="{00000000-0010-0000-0300-000001000000}" name="USD" dataDxfId="13"/>
    <tableColumn id="2" xr3:uid="{00000000-0010-0000-0300-000002000000}" name="Tipo" dataDxfId="12"/>
    <tableColumn id="3" xr3:uid="{00000000-0010-0000-0300-000003000000}" name="Emisión" dataDxfId="11"/>
    <tableColumn id="4" xr3:uid="{00000000-0010-0000-0300-000004000000}" name="Vencimiento" dataDxfId="10"/>
    <tableColumn id="5" xr3:uid="{00000000-0010-0000-0300-000005000000}" name="Valor Nominal " dataDxfId="9"/>
    <tableColumn id="6" xr3:uid="{00000000-0010-0000-0300-000006000000}" name="Valor Residual" dataDxfId="8" dataCellStyle="Porcentaje"/>
    <tableColumn id="8" xr3:uid="{00000000-0010-0000-0300-000008000000}" name="SGR 1" dataDxfId="7" dataCellStyle="Porcentaje"/>
    <tableColumn id="9" xr3:uid="{00000000-0010-0000-0300-000009000000}" name="SGR 2" dataDxfId="6"/>
    <tableColumn id="10" xr3:uid="{00000000-0010-0000-0300-00000A000000}" name="SGR 3" dataDxfId="5"/>
    <tableColumn id="11" xr3:uid="{00000000-0010-0000-0300-00000B000000}" name="SGR 4" dataDxfId="4"/>
    <tableColumn id="12" xr3:uid="{00000000-0010-0000-0300-00000C000000}" name="SGR 5" dataDxfId="3"/>
  </tableColumns>
  <tableStyleInfo name="TableStyleLight8"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cra.gov.ar/PublicacionesEstadisticas/Principales_variables.asp" TargetMode="External"/><Relationship Id="rId1" Type="http://schemas.openxmlformats.org/officeDocument/2006/relationships/hyperlink" Target="http://www.bcra.gov.ar/PublicacionesEstadisticas/Principales_variables.as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pageSetUpPr fitToPage="1"/>
  </sheetPr>
  <dimension ref="A1:Z75"/>
  <sheetViews>
    <sheetView topLeftCell="A4" workbookViewId="0">
      <selection activeCell="N7" sqref="N7"/>
    </sheetView>
  </sheetViews>
  <sheetFormatPr baseColWidth="10" defaultRowHeight="15" x14ac:dyDescent="0.25"/>
  <cols>
    <col min="1" max="2" width="2.7109375" style="165" customWidth="1"/>
    <col min="3" max="4" width="12.7109375" style="165" customWidth="1"/>
    <col min="5" max="5" width="2.7109375" style="165" customWidth="1"/>
    <col min="6" max="6" width="14.85546875" style="165" customWidth="1"/>
    <col min="7" max="7" width="12.7109375" style="165" customWidth="1"/>
    <col min="8" max="9" width="2.7109375" style="165" customWidth="1"/>
    <col min="10" max="10" width="14" style="165" customWidth="1"/>
    <col min="11" max="11" width="12.7109375" style="165" customWidth="1"/>
    <col min="12" max="12" width="2.7109375" style="165" customWidth="1"/>
    <col min="13" max="13" width="12.7109375" style="165" customWidth="1"/>
    <col min="14" max="14" width="13.28515625" style="165" bestFit="1" customWidth="1"/>
    <col min="15" max="16" width="2.7109375" style="165" customWidth="1"/>
    <col min="17" max="17" width="12.42578125" style="165" bestFit="1" customWidth="1"/>
    <col min="18" max="16384" width="11.42578125" style="165"/>
  </cols>
  <sheetData>
    <row r="1" spans="1:26" ht="9.9499999999999993" customHeight="1" x14ac:dyDescent="0.2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x14ac:dyDescent="0.25">
      <c r="A2" s="167"/>
      <c r="B2" s="162"/>
      <c r="C2" s="163"/>
      <c r="D2" s="163"/>
      <c r="E2" s="163"/>
      <c r="F2" s="163"/>
      <c r="G2" s="163"/>
      <c r="H2" s="163"/>
      <c r="I2" s="163"/>
      <c r="J2" s="163"/>
      <c r="K2" s="163"/>
      <c r="L2" s="163"/>
      <c r="M2" s="163"/>
      <c r="N2" s="163"/>
      <c r="O2" s="164"/>
      <c r="P2" s="167"/>
      <c r="Q2" s="167"/>
      <c r="R2" s="167"/>
      <c r="S2" s="167"/>
      <c r="T2" s="167"/>
      <c r="U2" s="167"/>
      <c r="V2" s="167"/>
      <c r="W2" s="167"/>
      <c r="X2" s="167"/>
      <c r="Y2" s="167"/>
      <c r="Z2" s="167"/>
    </row>
    <row r="3" spans="1:26" ht="23.1" customHeight="1" x14ac:dyDescent="0.25">
      <c r="A3" s="167"/>
      <c r="B3" s="166"/>
      <c r="C3" s="167"/>
      <c r="D3" s="167"/>
      <c r="E3" s="167"/>
      <c r="F3" s="167"/>
      <c r="G3" s="167"/>
      <c r="H3" s="167"/>
      <c r="I3" s="167"/>
      <c r="J3" s="167"/>
      <c r="K3" s="537" t="s">
        <v>1</v>
      </c>
      <c r="L3" s="538"/>
      <c r="M3" s="538"/>
      <c r="N3" s="539"/>
      <c r="O3" s="168"/>
      <c r="P3" s="167"/>
      <c r="Q3" s="167"/>
      <c r="R3" s="167"/>
      <c r="S3" s="167"/>
      <c r="T3" s="167"/>
      <c r="U3" s="167"/>
      <c r="V3" s="167"/>
      <c r="W3" s="167"/>
      <c r="X3" s="167"/>
      <c r="Y3" s="167"/>
      <c r="Z3" s="167"/>
    </row>
    <row r="4" spans="1:26" ht="20.100000000000001" customHeight="1" x14ac:dyDescent="0.25">
      <c r="A4" s="167"/>
      <c r="B4" s="166"/>
      <c r="C4" s="167"/>
      <c r="D4" s="167"/>
      <c r="E4" s="167"/>
      <c r="F4" s="167"/>
      <c r="G4" s="167"/>
      <c r="H4" s="167"/>
      <c r="I4" s="167"/>
      <c r="J4" s="167"/>
      <c r="K4" s="534" t="s">
        <v>283</v>
      </c>
      <c r="L4" s="535"/>
      <c r="M4" s="535"/>
      <c r="N4" s="536"/>
      <c r="O4" s="169"/>
      <c r="P4" s="167"/>
      <c r="Q4" s="167"/>
      <c r="R4" s="167"/>
      <c r="S4" s="167"/>
      <c r="T4" s="167"/>
      <c r="U4" s="167"/>
      <c r="V4" s="167"/>
      <c r="W4" s="167"/>
      <c r="X4" s="167"/>
      <c r="Y4" s="167"/>
      <c r="Z4" s="167"/>
    </row>
    <row r="5" spans="1:26" ht="9.9499999999999993" customHeight="1" x14ac:dyDescent="0.25">
      <c r="A5" s="167"/>
      <c r="B5" s="166"/>
      <c r="C5" s="167"/>
      <c r="D5" s="167"/>
      <c r="E5" s="167"/>
      <c r="F5" s="167"/>
      <c r="G5" s="167"/>
      <c r="H5" s="167"/>
      <c r="I5" s="167"/>
      <c r="J5" s="167"/>
      <c r="K5" s="167"/>
      <c r="L5" s="167"/>
      <c r="M5" s="167"/>
      <c r="N5" s="167"/>
      <c r="O5" s="168"/>
      <c r="P5" s="167"/>
      <c r="Q5" s="167"/>
      <c r="R5" s="167"/>
      <c r="S5" s="167"/>
      <c r="T5" s="167"/>
      <c r="U5" s="167"/>
      <c r="V5" s="167"/>
      <c r="W5" s="167"/>
      <c r="X5" s="167"/>
      <c r="Y5" s="167"/>
      <c r="Z5" s="167"/>
    </row>
    <row r="6" spans="1:26" ht="15.95" customHeight="1" x14ac:dyDescent="0.25">
      <c r="A6" s="167"/>
      <c r="B6" s="166"/>
      <c r="C6" s="167"/>
      <c r="D6" s="167"/>
      <c r="E6" s="167"/>
      <c r="F6" s="167"/>
      <c r="G6" s="167"/>
      <c r="H6" s="167"/>
      <c r="I6" s="167"/>
      <c r="J6" s="167"/>
      <c r="K6" s="167"/>
      <c r="L6" s="167"/>
      <c r="M6" s="170" t="s">
        <v>0</v>
      </c>
      <c r="N6" s="171">
        <v>45861</v>
      </c>
      <c r="O6" s="169"/>
      <c r="P6" s="167"/>
      <c r="Q6" s="167"/>
      <c r="R6" s="167"/>
      <c r="S6" s="167"/>
      <c r="T6" s="167"/>
      <c r="U6" s="167"/>
      <c r="V6" s="167"/>
      <c r="W6" s="167"/>
      <c r="X6" s="167"/>
      <c r="Y6" s="167"/>
      <c r="Z6" s="167"/>
    </row>
    <row r="7" spans="1:26" x14ac:dyDescent="0.25">
      <c r="A7" s="167"/>
      <c r="B7" s="172"/>
      <c r="C7" s="173"/>
      <c r="D7" s="173"/>
      <c r="E7" s="173"/>
      <c r="F7" s="173"/>
      <c r="G7" s="173"/>
      <c r="H7" s="173"/>
      <c r="I7" s="173"/>
      <c r="J7" s="173"/>
      <c r="K7" s="173"/>
      <c r="L7" s="173"/>
      <c r="M7" s="173"/>
      <c r="N7" s="173"/>
      <c r="O7" s="174"/>
      <c r="P7" s="167"/>
      <c r="Q7" s="167"/>
      <c r="R7" s="167"/>
      <c r="S7" s="167"/>
      <c r="T7" s="167"/>
      <c r="U7" s="167"/>
      <c r="V7" s="167"/>
      <c r="W7" s="167"/>
      <c r="X7" s="167"/>
      <c r="Y7" s="167"/>
      <c r="Z7" s="167"/>
    </row>
    <row r="8" spans="1:26" ht="15.95" customHeight="1" x14ac:dyDescent="0.25">
      <c r="A8" s="167"/>
      <c r="B8" s="175"/>
      <c r="C8" s="163"/>
      <c r="D8" s="163"/>
      <c r="E8" s="163"/>
      <c r="F8" s="163"/>
      <c r="G8" s="163"/>
      <c r="H8" s="176"/>
      <c r="I8" s="163"/>
      <c r="J8" s="163"/>
      <c r="K8" s="163"/>
      <c r="L8" s="163"/>
      <c r="M8" s="163"/>
      <c r="N8" s="163"/>
      <c r="O8" s="164"/>
      <c r="P8" s="167"/>
      <c r="Q8" s="167"/>
      <c r="R8" s="167"/>
      <c r="S8" s="167"/>
      <c r="T8" s="167"/>
      <c r="U8" s="167"/>
      <c r="V8" s="167"/>
      <c r="W8" s="167"/>
      <c r="X8" s="167"/>
      <c r="Y8" s="167"/>
      <c r="Z8" s="167"/>
    </row>
    <row r="9" spans="1:26" ht="8.1" customHeight="1" x14ac:dyDescent="0.25">
      <c r="A9" s="167"/>
      <c r="B9" s="177"/>
      <c r="C9" s="162"/>
      <c r="D9" s="163"/>
      <c r="E9" s="163"/>
      <c r="F9" s="163"/>
      <c r="G9" s="164"/>
      <c r="H9" s="178"/>
      <c r="I9" s="167"/>
      <c r="J9" s="162"/>
      <c r="K9" s="163"/>
      <c r="L9" s="163"/>
      <c r="M9" s="163"/>
      <c r="N9" s="164"/>
      <c r="O9" s="168"/>
      <c r="P9" s="167"/>
      <c r="Q9" s="167"/>
      <c r="R9" s="167"/>
      <c r="S9" s="167"/>
      <c r="T9" s="167"/>
      <c r="U9" s="167"/>
      <c r="V9" s="167"/>
      <c r="W9" s="167"/>
      <c r="X9" s="167"/>
      <c r="Y9" s="167"/>
      <c r="Z9" s="167"/>
    </row>
    <row r="10" spans="1:26" ht="20.100000000000001" customHeight="1" x14ac:dyDescent="0.25">
      <c r="A10" s="167"/>
      <c r="B10" s="166"/>
      <c r="C10" s="540" t="s">
        <v>264</v>
      </c>
      <c r="D10" s="541"/>
      <c r="E10" s="541"/>
      <c r="F10" s="541"/>
      <c r="G10" s="542"/>
      <c r="H10" s="178"/>
      <c r="I10" s="167"/>
      <c r="J10" s="540" t="s">
        <v>28</v>
      </c>
      <c r="K10" s="541"/>
      <c r="L10" s="541"/>
      <c r="M10" s="541"/>
      <c r="N10" s="542"/>
      <c r="O10" s="168"/>
      <c r="P10" s="167"/>
      <c r="Q10" s="167"/>
      <c r="R10" s="167"/>
      <c r="S10" s="167"/>
      <c r="T10" s="167"/>
      <c r="U10" s="167"/>
      <c r="V10" s="167"/>
      <c r="W10" s="167"/>
      <c r="X10" s="167"/>
      <c r="Y10" s="167"/>
      <c r="Z10" s="167"/>
    </row>
    <row r="11" spans="1:26" ht="9.9499999999999993" customHeight="1" x14ac:dyDescent="0.25">
      <c r="A11" s="167"/>
      <c r="B11" s="166"/>
      <c r="C11" s="166"/>
      <c r="D11" s="167"/>
      <c r="E11" s="167"/>
      <c r="F11" s="167"/>
      <c r="G11" s="168"/>
      <c r="H11" s="178"/>
      <c r="I11" s="167"/>
      <c r="J11" s="166"/>
      <c r="K11" s="167"/>
      <c r="L11" s="167"/>
      <c r="M11" s="167"/>
      <c r="N11" s="168"/>
      <c r="O11" s="168"/>
      <c r="P11" s="167"/>
      <c r="Q11" s="167"/>
      <c r="R11" s="167"/>
      <c r="S11" s="167"/>
      <c r="T11" s="167"/>
      <c r="U11" s="167"/>
      <c r="V11" s="167"/>
      <c r="W11" s="167"/>
      <c r="X11" s="167"/>
      <c r="Y11" s="167"/>
      <c r="Z11" s="167"/>
    </row>
    <row r="12" spans="1:26" ht="9.9499999999999993" customHeight="1" x14ac:dyDescent="0.25">
      <c r="A12" s="167"/>
      <c r="B12" s="166"/>
      <c r="C12" s="179"/>
      <c r="D12" s="180"/>
      <c r="E12" s="167"/>
      <c r="F12" s="181"/>
      <c r="G12" s="182"/>
      <c r="H12" s="178"/>
      <c r="I12" s="167"/>
      <c r="J12" s="179"/>
      <c r="K12" s="180"/>
      <c r="L12" s="167"/>
      <c r="M12" s="181"/>
      <c r="N12" s="182"/>
      <c r="O12" s="168"/>
      <c r="P12" s="167"/>
      <c r="Q12" s="167"/>
      <c r="R12" s="167"/>
      <c r="S12" s="167"/>
      <c r="T12" s="167"/>
      <c r="U12" s="167"/>
      <c r="V12" s="167"/>
      <c r="W12" s="167"/>
      <c r="X12" s="167"/>
      <c r="Y12" s="167"/>
      <c r="Z12" s="167"/>
    </row>
    <row r="13" spans="1:26" ht="15.95" customHeight="1" x14ac:dyDescent="0.25">
      <c r="A13" s="167"/>
      <c r="B13" s="166"/>
      <c r="C13" s="543" t="s">
        <v>18</v>
      </c>
      <c r="D13" s="544"/>
      <c r="E13" s="167"/>
      <c r="F13" s="545" t="s">
        <v>49</v>
      </c>
      <c r="G13" s="546"/>
      <c r="H13" s="178"/>
      <c r="I13" s="167"/>
      <c r="J13" s="543" t="s">
        <v>18</v>
      </c>
      <c r="K13" s="544"/>
      <c r="L13" s="167"/>
      <c r="M13" s="545" t="s">
        <v>49</v>
      </c>
      <c r="N13" s="546"/>
      <c r="O13" s="168"/>
      <c r="P13" s="167"/>
      <c r="Q13" s="167"/>
      <c r="R13" s="167"/>
      <c r="S13" s="167"/>
      <c r="T13" s="167"/>
      <c r="U13" s="167"/>
      <c r="V13" s="167"/>
      <c r="W13" s="167"/>
      <c r="X13" s="167"/>
      <c r="Y13" s="167"/>
      <c r="Z13" s="167"/>
    </row>
    <row r="14" spans="1:26" ht="15.95" customHeight="1" x14ac:dyDescent="0.25">
      <c r="A14" s="167"/>
      <c r="B14" s="166"/>
      <c r="C14" s="561">
        <f ca="1">+COUNTA(ARS!$B:$B)-COUNTIF(ARS!$J:$J,"vencida")</f>
        <v>3</v>
      </c>
      <c r="D14" s="562"/>
      <c r="E14" s="167"/>
      <c r="F14" s="565">
        <f>+COUNTA(USD!$B:$B)-COUNTIF(USD!$J:$J,"vencida")</f>
        <v>4</v>
      </c>
      <c r="G14" s="566"/>
      <c r="H14" s="178"/>
      <c r="I14" s="167"/>
      <c r="J14" s="547">
        <f ca="1">+SUMIF(ARS!H:H,"Valor Residual",ARS!J:J)</f>
        <v>200000000.18928754</v>
      </c>
      <c r="K14" s="548"/>
      <c r="L14" s="167"/>
      <c r="M14" s="551">
        <f>+SUMIF(USD!H:H,"Valor Residual",USD!J:J)</f>
        <v>5480470.3133333325</v>
      </c>
      <c r="N14" s="552"/>
      <c r="O14" s="168"/>
      <c r="P14" s="167"/>
      <c r="Q14" s="216"/>
      <c r="R14" s="167"/>
      <c r="S14" s="167"/>
      <c r="T14" s="167"/>
      <c r="U14" s="167"/>
      <c r="V14" s="167"/>
      <c r="W14" s="167"/>
      <c r="X14" s="167"/>
      <c r="Y14" s="167"/>
      <c r="Z14" s="167"/>
    </row>
    <row r="15" spans="1:26" ht="15.95" customHeight="1" x14ac:dyDescent="0.25">
      <c r="A15" s="167"/>
      <c r="B15" s="166"/>
      <c r="C15" s="563"/>
      <c r="D15" s="564"/>
      <c r="E15" s="167"/>
      <c r="F15" s="567"/>
      <c r="G15" s="568"/>
      <c r="H15" s="178"/>
      <c r="I15" s="167"/>
      <c r="J15" s="549"/>
      <c r="K15" s="550"/>
      <c r="L15" s="167"/>
      <c r="M15" s="553"/>
      <c r="N15" s="554"/>
      <c r="O15" s="168"/>
      <c r="P15" s="167"/>
      <c r="Q15" s="167"/>
      <c r="R15" s="167"/>
      <c r="S15" s="167"/>
      <c r="T15" s="167"/>
      <c r="U15" s="167"/>
      <c r="V15" s="167"/>
      <c r="W15" s="167"/>
      <c r="X15" s="167"/>
      <c r="Y15" s="167"/>
      <c r="Z15" s="167"/>
    </row>
    <row r="16" spans="1:26" ht="9.9499999999999993" customHeight="1" x14ac:dyDescent="0.25">
      <c r="A16" s="167"/>
      <c r="B16" s="166"/>
      <c r="C16" s="166"/>
      <c r="D16" s="167"/>
      <c r="E16" s="167"/>
      <c r="F16" s="167"/>
      <c r="G16" s="168"/>
      <c r="H16" s="178"/>
      <c r="I16" s="167"/>
      <c r="J16" s="166"/>
      <c r="K16" s="167"/>
      <c r="L16" s="167"/>
      <c r="M16" s="167"/>
      <c r="N16" s="168"/>
      <c r="O16" s="168"/>
      <c r="P16" s="167"/>
      <c r="Q16" s="167"/>
      <c r="R16" s="167"/>
      <c r="S16" s="167"/>
      <c r="T16" s="167"/>
      <c r="U16" s="167"/>
      <c r="V16" s="167"/>
      <c r="W16" s="167"/>
      <c r="X16" s="167"/>
      <c r="Y16" s="167"/>
      <c r="Z16" s="167"/>
    </row>
    <row r="17" spans="1:26" ht="15.95" customHeight="1" x14ac:dyDescent="0.25">
      <c r="A17" s="167"/>
      <c r="B17" s="166"/>
      <c r="C17" s="557" t="s">
        <v>263</v>
      </c>
      <c r="D17" s="557"/>
      <c r="E17" s="557"/>
      <c r="F17" s="555">
        <f ca="1">+C14+F14</f>
        <v>7</v>
      </c>
      <c r="G17" s="555"/>
      <c r="H17" s="178"/>
      <c r="I17" s="167"/>
      <c r="J17" s="557" t="s">
        <v>265</v>
      </c>
      <c r="K17" s="557"/>
      <c r="L17" s="557"/>
      <c r="M17" s="559">
        <f ca="1">+J14+M14*VLOOKUP(WORKDAY.INTL(N6,-1,1),'Tasas-TC'!A:C,3,FALSE)</f>
        <v>6536355362.3558865</v>
      </c>
      <c r="N17" s="559"/>
      <c r="O17" s="168"/>
      <c r="P17" s="167"/>
      <c r="Q17" s="217"/>
      <c r="R17" s="167"/>
      <c r="S17" s="167"/>
      <c r="T17" s="167"/>
      <c r="U17" s="167"/>
      <c r="V17" s="167"/>
      <c r="W17" s="167"/>
      <c r="X17" s="167"/>
      <c r="Y17" s="167"/>
      <c r="Z17" s="167"/>
    </row>
    <row r="18" spans="1:26" ht="15.95" customHeight="1" x14ac:dyDescent="0.25">
      <c r="A18" s="167"/>
      <c r="B18" s="166"/>
      <c r="C18" s="558"/>
      <c r="D18" s="558"/>
      <c r="E18" s="558"/>
      <c r="F18" s="556"/>
      <c r="G18" s="556"/>
      <c r="H18" s="178"/>
      <c r="I18" s="167"/>
      <c r="J18" s="558"/>
      <c r="K18" s="558"/>
      <c r="L18" s="558"/>
      <c r="M18" s="560"/>
      <c r="N18" s="560"/>
      <c r="O18" s="168"/>
      <c r="P18" s="167"/>
      <c r="Q18" s="167"/>
      <c r="R18" s="167"/>
      <c r="S18" s="167"/>
      <c r="T18" s="167"/>
      <c r="U18" s="167"/>
      <c r="V18" s="167"/>
      <c r="W18" s="167"/>
      <c r="X18" s="167"/>
      <c r="Y18" s="167"/>
      <c r="Z18" s="167"/>
    </row>
    <row r="19" spans="1:26" ht="9.9499999999999993" customHeight="1" x14ac:dyDescent="0.25">
      <c r="A19" s="167"/>
      <c r="B19" s="166"/>
      <c r="C19" s="172"/>
      <c r="D19" s="173"/>
      <c r="E19" s="173"/>
      <c r="F19" s="173"/>
      <c r="G19" s="174"/>
      <c r="H19" s="178"/>
      <c r="I19" s="167"/>
      <c r="J19" s="172"/>
      <c r="K19" s="173"/>
      <c r="L19" s="173"/>
      <c r="M19" s="173"/>
      <c r="N19" s="174"/>
      <c r="O19" s="168"/>
      <c r="P19" s="167"/>
      <c r="Q19" s="167"/>
      <c r="R19" s="167"/>
      <c r="S19" s="167"/>
      <c r="T19" s="167"/>
      <c r="U19" s="167"/>
      <c r="V19" s="167"/>
      <c r="W19" s="167"/>
      <c r="X19" s="167"/>
      <c r="Y19" s="167"/>
      <c r="Z19" s="167"/>
    </row>
    <row r="20" spans="1:26" ht="15.95" customHeight="1" x14ac:dyDescent="0.25">
      <c r="A20" s="167"/>
      <c r="B20" s="166"/>
      <c r="C20" s="166"/>
      <c r="D20" s="167"/>
      <c r="E20" s="167"/>
      <c r="F20" s="167"/>
      <c r="G20" s="168"/>
      <c r="H20" s="178"/>
      <c r="I20" s="167"/>
      <c r="J20" s="183">
        <f ca="1">+M17-J14</f>
        <v>6336355362.1665993</v>
      </c>
      <c r="K20" s="167"/>
      <c r="L20" s="167"/>
      <c r="M20" s="167"/>
      <c r="N20" s="168"/>
      <c r="O20" s="168"/>
      <c r="P20" s="167"/>
      <c r="Q20" s="167"/>
      <c r="R20" s="167"/>
      <c r="S20" s="167"/>
      <c r="T20" s="167"/>
      <c r="U20" s="167"/>
      <c r="V20" s="167"/>
      <c r="W20" s="167"/>
      <c r="X20" s="167"/>
      <c r="Y20" s="167"/>
      <c r="Z20" s="167"/>
    </row>
    <row r="21" spans="1:26" ht="15.95" customHeight="1" x14ac:dyDescent="0.25">
      <c r="A21" s="167"/>
      <c r="B21" s="166"/>
      <c r="C21" s="166"/>
      <c r="D21" s="167"/>
      <c r="E21" s="167"/>
      <c r="F21" s="167"/>
      <c r="G21" s="168"/>
      <c r="H21" s="178"/>
      <c r="I21" s="167"/>
      <c r="J21" s="166"/>
      <c r="K21" s="167"/>
      <c r="L21" s="167"/>
      <c r="M21" s="167"/>
      <c r="N21" s="168"/>
      <c r="O21" s="168"/>
      <c r="P21" s="167"/>
      <c r="Q21" s="167"/>
      <c r="R21" s="167"/>
      <c r="S21" s="167"/>
      <c r="T21" s="167"/>
      <c r="U21" s="167"/>
      <c r="V21" s="167"/>
      <c r="W21" s="167"/>
      <c r="X21" s="167"/>
      <c r="Y21" s="167"/>
      <c r="Z21" s="167"/>
    </row>
    <row r="22" spans="1:26" ht="15.95" customHeight="1" x14ac:dyDescent="0.25">
      <c r="A22" s="167"/>
      <c r="B22" s="166"/>
      <c r="C22" s="166"/>
      <c r="D22" s="167"/>
      <c r="E22" s="167"/>
      <c r="F22" s="167"/>
      <c r="G22" s="168"/>
      <c r="H22" s="178"/>
      <c r="I22" s="167"/>
      <c r="J22" s="166"/>
      <c r="K22" s="167"/>
      <c r="L22" s="167"/>
      <c r="M22" s="167"/>
      <c r="N22" s="168"/>
      <c r="O22" s="168"/>
      <c r="P22" s="167"/>
      <c r="Q22" s="167"/>
      <c r="R22" s="167"/>
      <c r="S22" s="167"/>
      <c r="T22" s="167"/>
      <c r="U22" s="167"/>
      <c r="V22" s="167"/>
      <c r="W22" s="167"/>
      <c r="X22" s="167"/>
      <c r="Y22" s="167"/>
      <c r="Z22" s="167"/>
    </row>
    <row r="23" spans="1:26" ht="15.95" customHeight="1" x14ac:dyDescent="0.25">
      <c r="A23" s="167"/>
      <c r="B23" s="166"/>
      <c r="C23" s="166"/>
      <c r="D23" s="167"/>
      <c r="E23" s="167"/>
      <c r="F23" s="167"/>
      <c r="G23" s="168"/>
      <c r="H23" s="178"/>
      <c r="I23" s="167"/>
      <c r="J23" s="166"/>
      <c r="K23" s="167"/>
      <c r="L23" s="167"/>
      <c r="M23" s="167"/>
      <c r="N23" s="168"/>
      <c r="O23" s="168"/>
      <c r="P23" s="167"/>
      <c r="Q23" s="167"/>
      <c r="R23" s="167"/>
      <c r="S23" s="167"/>
      <c r="T23" s="167"/>
      <c r="U23" s="167"/>
      <c r="V23" s="167"/>
      <c r="W23" s="167"/>
      <c r="X23" s="167"/>
      <c r="Y23" s="167"/>
      <c r="Z23" s="167"/>
    </row>
    <row r="24" spans="1:26" ht="15.95" customHeight="1" x14ac:dyDescent="0.25">
      <c r="A24" s="167"/>
      <c r="B24" s="166"/>
      <c r="C24" s="166"/>
      <c r="D24" s="167"/>
      <c r="E24" s="167"/>
      <c r="F24" s="167"/>
      <c r="G24" s="168"/>
      <c r="H24" s="178"/>
      <c r="I24" s="167"/>
      <c r="J24" s="166"/>
      <c r="K24" s="167"/>
      <c r="L24" s="167"/>
      <c r="M24" s="167"/>
      <c r="N24" s="168"/>
      <c r="O24" s="168"/>
      <c r="P24" s="167"/>
      <c r="Q24" s="167"/>
      <c r="R24" s="167"/>
      <c r="S24" s="167"/>
      <c r="T24" s="167"/>
      <c r="U24" s="167"/>
      <c r="V24" s="167"/>
      <c r="W24" s="167"/>
      <c r="X24" s="167"/>
      <c r="Y24" s="167"/>
      <c r="Z24" s="167"/>
    </row>
    <row r="25" spans="1:26" ht="15.95" customHeight="1" x14ac:dyDescent="0.25">
      <c r="A25" s="167"/>
      <c r="B25" s="166"/>
      <c r="C25" s="166"/>
      <c r="D25" s="167"/>
      <c r="E25" s="167"/>
      <c r="F25" s="167"/>
      <c r="G25" s="168"/>
      <c r="H25" s="178"/>
      <c r="I25" s="167"/>
      <c r="J25" s="166"/>
      <c r="K25" s="167"/>
      <c r="L25" s="167"/>
      <c r="M25" s="167"/>
      <c r="N25" s="168"/>
      <c r="O25" s="168"/>
      <c r="P25" s="167"/>
      <c r="Q25" s="167"/>
      <c r="R25" s="167"/>
      <c r="S25" s="167"/>
      <c r="T25" s="167"/>
      <c r="U25" s="167"/>
      <c r="V25" s="167"/>
      <c r="W25" s="167"/>
      <c r="X25" s="167"/>
      <c r="Y25" s="167"/>
      <c r="Z25" s="167"/>
    </row>
    <row r="26" spans="1:26" ht="15.95" customHeight="1" x14ac:dyDescent="0.25">
      <c r="A26" s="167"/>
      <c r="B26" s="166"/>
      <c r="C26" s="166"/>
      <c r="D26" s="167"/>
      <c r="E26" s="167"/>
      <c r="F26" s="167"/>
      <c r="G26" s="168"/>
      <c r="H26" s="178"/>
      <c r="I26" s="167"/>
      <c r="J26" s="166"/>
      <c r="K26" s="167"/>
      <c r="L26" s="167"/>
      <c r="M26" s="167"/>
      <c r="N26" s="168"/>
      <c r="O26" s="168"/>
      <c r="P26" s="167"/>
      <c r="Q26" s="167"/>
      <c r="R26" s="167"/>
      <c r="S26" s="167"/>
      <c r="T26" s="167"/>
      <c r="U26" s="167"/>
      <c r="V26" s="167"/>
      <c r="W26" s="167"/>
      <c r="X26" s="167"/>
      <c r="Y26" s="167"/>
      <c r="Z26" s="167"/>
    </row>
    <row r="27" spans="1:26" ht="15.95" customHeight="1" x14ac:dyDescent="0.25">
      <c r="A27" s="167"/>
      <c r="B27" s="166"/>
      <c r="C27" s="166"/>
      <c r="D27" s="167"/>
      <c r="E27" s="167"/>
      <c r="F27" s="167"/>
      <c r="G27" s="168"/>
      <c r="H27" s="178"/>
      <c r="I27" s="167"/>
      <c r="J27" s="166"/>
      <c r="K27" s="167"/>
      <c r="L27" s="167"/>
      <c r="M27" s="167"/>
      <c r="N27" s="168"/>
      <c r="O27" s="168"/>
      <c r="P27" s="167"/>
      <c r="Q27" s="167"/>
      <c r="R27" s="167"/>
      <c r="S27" s="167"/>
      <c r="T27" s="167"/>
      <c r="U27" s="167"/>
      <c r="V27" s="167"/>
      <c r="W27" s="167"/>
      <c r="X27" s="167"/>
      <c r="Y27" s="167"/>
      <c r="Z27" s="167"/>
    </row>
    <row r="28" spans="1:26" ht="15.95" customHeight="1" x14ac:dyDescent="0.25">
      <c r="A28" s="167"/>
      <c r="B28" s="166"/>
      <c r="C28" s="166"/>
      <c r="D28" s="167"/>
      <c r="E28" s="167"/>
      <c r="F28" s="167"/>
      <c r="G28" s="168"/>
      <c r="H28" s="178"/>
      <c r="I28" s="167"/>
      <c r="J28" s="166"/>
      <c r="K28" s="167"/>
      <c r="L28" s="167"/>
      <c r="M28" s="167"/>
      <c r="N28" s="168"/>
      <c r="O28" s="168"/>
      <c r="P28" s="167"/>
      <c r="Q28" s="167"/>
      <c r="R28" s="167"/>
      <c r="S28" s="167"/>
      <c r="T28" s="167"/>
      <c r="U28" s="167"/>
      <c r="V28" s="167"/>
      <c r="W28" s="167"/>
      <c r="X28" s="167"/>
      <c r="Y28" s="167"/>
      <c r="Z28" s="167"/>
    </row>
    <row r="29" spans="1:26" ht="15.95" customHeight="1" x14ac:dyDescent="0.25">
      <c r="A29" s="167"/>
      <c r="B29" s="166"/>
      <c r="C29" s="166"/>
      <c r="D29" s="167"/>
      <c r="E29" s="167"/>
      <c r="F29" s="167"/>
      <c r="G29" s="168"/>
      <c r="H29" s="178"/>
      <c r="I29" s="167"/>
      <c r="J29" s="166"/>
      <c r="K29" s="167"/>
      <c r="L29" s="167"/>
      <c r="M29" s="167"/>
      <c r="N29" s="168"/>
      <c r="O29" s="168"/>
      <c r="P29" s="167"/>
      <c r="Q29" s="167"/>
      <c r="R29" s="167"/>
      <c r="S29" s="167"/>
      <c r="T29" s="167"/>
      <c r="U29" s="167"/>
      <c r="V29" s="167"/>
      <c r="W29" s="167"/>
      <c r="X29" s="167"/>
      <c r="Y29" s="167"/>
      <c r="Z29" s="167"/>
    </row>
    <row r="30" spans="1:26" ht="15.95" customHeight="1" x14ac:dyDescent="0.25">
      <c r="A30" s="167"/>
      <c r="B30" s="166"/>
      <c r="C30" s="172"/>
      <c r="D30" s="173"/>
      <c r="E30" s="173"/>
      <c r="F30" s="173"/>
      <c r="G30" s="174"/>
      <c r="H30" s="178"/>
      <c r="I30" s="167"/>
      <c r="J30" s="172"/>
      <c r="K30" s="173"/>
      <c r="L30" s="173"/>
      <c r="M30" s="173"/>
      <c r="N30" s="174"/>
      <c r="O30" s="168"/>
      <c r="P30" s="167"/>
      <c r="Q30" s="167"/>
      <c r="R30" s="167"/>
      <c r="S30" s="167"/>
      <c r="T30" s="167"/>
      <c r="U30" s="167"/>
      <c r="V30" s="167"/>
      <c r="W30" s="167"/>
      <c r="X30" s="167"/>
      <c r="Y30" s="167"/>
      <c r="Z30" s="167"/>
    </row>
    <row r="31" spans="1:26" ht="15.95" customHeight="1" x14ac:dyDescent="0.25">
      <c r="A31" s="167"/>
      <c r="B31" s="220"/>
      <c r="C31" s="221"/>
      <c r="D31" s="221"/>
      <c r="E31" s="221"/>
      <c r="F31" s="221"/>
      <c r="G31" s="221"/>
      <c r="H31" s="222"/>
      <c r="I31" s="221"/>
      <c r="J31" s="221"/>
      <c r="K31" s="221"/>
      <c r="L31" s="221"/>
      <c r="M31" s="221"/>
      <c r="N31" s="221"/>
      <c r="O31" s="223"/>
      <c r="P31" s="167"/>
      <c r="Q31" s="167"/>
      <c r="R31" s="167"/>
      <c r="S31" s="167"/>
      <c r="T31" s="167"/>
      <c r="U31" s="167"/>
      <c r="V31" s="167"/>
      <c r="W31" s="167"/>
      <c r="X31" s="167"/>
      <c r="Y31" s="167"/>
      <c r="Z31" s="167"/>
    </row>
    <row r="32" spans="1:26" ht="15.95" customHeight="1" x14ac:dyDescent="0.25">
      <c r="A32" s="167"/>
      <c r="B32" s="224"/>
      <c r="C32" s="225"/>
      <c r="D32" s="225"/>
      <c r="E32" s="225"/>
      <c r="F32" s="225"/>
      <c r="G32" s="225"/>
      <c r="H32" s="226"/>
      <c r="I32" s="225"/>
      <c r="J32" s="225"/>
      <c r="K32" s="225"/>
      <c r="L32" s="225"/>
      <c r="M32" s="225"/>
      <c r="N32" s="225"/>
      <c r="O32" s="227"/>
      <c r="P32" s="167"/>
      <c r="Q32" s="167"/>
      <c r="R32" s="167"/>
      <c r="S32" s="167"/>
      <c r="T32" s="167"/>
      <c r="U32" s="167"/>
      <c r="V32" s="167"/>
      <c r="W32" s="167"/>
      <c r="X32" s="167"/>
      <c r="Y32" s="167"/>
      <c r="Z32" s="167"/>
    </row>
    <row r="33" spans="1:26" ht="20.100000000000001" customHeight="1" x14ac:dyDescent="0.25">
      <c r="A33" s="167"/>
      <c r="B33" s="569" t="s">
        <v>266</v>
      </c>
      <c r="C33" s="570"/>
      <c r="D33" s="570"/>
      <c r="E33" s="570"/>
      <c r="F33" s="570"/>
      <c r="G33" s="570"/>
      <c r="H33" s="570"/>
      <c r="I33" s="570"/>
      <c r="J33" s="570"/>
      <c r="K33" s="570"/>
      <c r="L33" s="570"/>
      <c r="M33" s="570"/>
      <c r="N33" s="570"/>
      <c r="O33" s="571"/>
      <c r="P33" s="167"/>
      <c r="Q33" s="167"/>
      <c r="R33" s="167"/>
      <c r="S33" s="167"/>
      <c r="T33" s="167"/>
      <c r="U33" s="167"/>
      <c r="V33" s="167"/>
      <c r="W33" s="167"/>
      <c r="X33" s="167"/>
      <c r="Y33" s="167"/>
      <c r="Z33" s="167"/>
    </row>
    <row r="34" spans="1:26" ht="15.95" customHeight="1" x14ac:dyDescent="0.25">
      <c r="A34" s="167"/>
      <c r="B34" s="224"/>
      <c r="C34" s="225"/>
      <c r="D34" s="225"/>
      <c r="E34" s="225"/>
      <c r="F34" s="225"/>
      <c r="G34" s="225"/>
      <c r="H34" s="225"/>
      <c r="I34" s="225"/>
      <c r="J34" s="225"/>
      <c r="K34" s="225"/>
      <c r="L34" s="225"/>
      <c r="M34" s="225"/>
      <c r="N34" s="225"/>
      <c r="O34" s="227"/>
      <c r="P34" s="167"/>
      <c r="Q34" s="167"/>
      <c r="R34" s="167"/>
      <c r="S34" s="167"/>
      <c r="T34" s="167"/>
      <c r="U34" s="167"/>
      <c r="V34" s="167"/>
      <c r="W34" s="167"/>
      <c r="X34" s="167"/>
      <c r="Y34" s="167"/>
      <c r="Z34" s="167"/>
    </row>
    <row r="35" spans="1:26" ht="9.9499999999999993" customHeight="1" x14ac:dyDescent="0.25">
      <c r="A35" s="167"/>
      <c r="B35" s="224"/>
      <c r="C35" s="231"/>
      <c r="D35" s="232"/>
      <c r="E35" s="232"/>
      <c r="F35" s="232"/>
      <c r="G35" s="232"/>
      <c r="H35" s="232"/>
      <c r="I35" s="232"/>
      <c r="J35" s="232"/>
      <c r="K35" s="232"/>
      <c r="L35" s="232"/>
      <c r="M35" s="232"/>
      <c r="N35" s="233"/>
      <c r="O35" s="227"/>
      <c r="P35" s="167"/>
      <c r="Q35" s="167"/>
      <c r="R35" s="167"/>
      <c r="S35" s="167"/>
      <c r="T35" s="167"/>
      <c r="U35" s="167"/>
      <c r="V35" s="167"/>
      <c r="W35" s="167"/>
      <c r="X35" s="167"/>
      <c r="Y35" s="167"/>
      <c r="Z35" s="167"/>
    </row>
    <row r="36" spans="1:26" ht="18" customHeight="1" x14ac:dyDescent="0.25">
      <c r="A36" s="167"/>
      <c r="B36" s="224"/>
      <c r="C36" s="572" t="s">
        <v>269</v>
      </c>
      <c r="D36" s="573"/>
      <c r="E36" s="573"/>
      <c r="F36" s="573"/>
      <c r="G36" s="225"/>
      <c r="H36" s="225"/>
      <c r="I36" s="225"/>
      <c r="J36" s="225"/>
      <c r="K36" s="225"/>
      <c r="L36" s="225"/>
      <c r="M36" s="225"/>
      <c r="N36" s="227"/>
      <c r="O36" s="227"/>
      <c r="P36" s="167"/>
      <c r="Q36" s="167"/>
      <c r="R36" s="167"/>
      <c r="S36" s="167"/>
      <c r="T36" s="167"/>
      <c r="U36" s="167"/>
      <c r="V36" s="167"/>
      <c r="W36" s="167"/>
      <c r="X36" s="167"/>
      <c r="Y36" s="167"/>
      <c r="Z36" s="167"/>
    </row>
    <row r="37" spans="1:26" ht="9.9499999999999993" customHeight="1" x14ac:dyDescent="0.25">
      <c r="A37" s="167"/>
      <c r="B37" s="224"/>
      <c r="C37" s="234"/>
      <c r="D37" s="235"/>
      <c r="E37" s="225"/>
      <c r="F37" s="492"/>
      <c r="G37" s="260"/>
      <c r="H37" s="225"/>
      <c r="I37" s="574"/>
      <c r="J37" s="575"/>
      <c r="K37" s="219"/>
      <c r="L37" s="219"/>
      <c r="M37" s="219"/>
      <c r="N37" s="249"/>
      <c r="O37" s="249"/>
      <c r="P37" s="167"/>
      <c r="Q37" s="167"/>
      <c r="R37" s="167"/>
      <c r="S37" s="167"/>
      <c r="T37" s="167"/>
      <c r="U37" s="167"/>
      <c r="V37" s="167"/>
      <c r="W37" s="167"/>
      <c r="X37" s="167"/>
      <c r="Y37" s="167"/>
      <c r="Z37" s="167"/>
    </row>
    <row r="38" spans="1:26" ht="15.95" customHeight="1" x14ac:dyDescent="0.25">
      <c r="A38" s="167"/>
      <c r="B38" s="224"/>
      <c r="C38" s="224"/>
      <c r="D38" s="225"/>
      <c r="E38" s="225"/>
      <c r="F38" s="476" t="s">
        <v>18</v>
      </c>
      <c r="G38" s="493" t="s">
        <v>49</v>
      </c>
      <c r="H38" s="219"/>
      <c r="I38" s="576" t="s">
        <v>268</v>
      </c>
      <c r="J38" s="577"/>
      <c r="K38" s="219"/>
      <c r="L38" s="219"/>
      <c r="M38" s="219"/>
      <c r="N38" s="249"/>
      <c r="O38" s="249"/>
      <c r="P38" s="167"/>
      <c r="Q38" s="167"/>
      <c r="R38" s="167"/>
      <c r="S38" s="167"/>
      <c r="T38" s="167"/>
      <c r="U38" s="167"/>
      <c r="V38" s="167"/>
      <c r="W38" s="167"/>
      <c r="X38" s="167"/>
      <c r="Y38" s="167"/>
      <c r="Z38" s="167"/>
    </row>
    <row r="39" spans="1:26" ht="9.9499999999999993" customHeight="1" x14ac:dyDescent="0.25">
      <c r="A39" s="167"/>
      <c r="B39" s="224"/>
      <c r="C39" s="224"/>
      <c r="D39" s="225"/>
      <c r="E39" s="225"/>
      <c r="F39" s="239"/>
      <c r="G39" s="265"/>
      <c r="H39" s="225"/>
      <c r="I39" s="224"/>
      <c r="J39" s="227"/>
      <c r="K39" s="219"/>
      <c r="L39" s="219"/>
      <c r="M39" s="219"/>
      <c r="N39" s="249"/>
      <c r="O39" s="249"/>
      <c r="P39" s="167"/>
      <c r="Q39" s="167"/>
      <c r="R39" s="167"/>
      <c r="S39" s="167"/>
      <c r="T39" s="167"/>
      <c r="U39" s="167"/>
      <c r="V39" s="167"/>
      <c r="W39" s="167"/>
      <c r="X39" s="167"/>
      <c r="Y39" s="167"/>
      <c r="Z39" s="167"/>
    </row>
    <row r="40" spans="1:26" ht="15.95" customHeight="1" x14ac:dyDescent="0.25">
      <c r="A40" s="167"/>
      <c r="B40" s="224"/>
      <c r="C40" s="236" t="s">
        <v>17</v>
      </c>
      <c r="D40" s="225"/>
      <c r="E40" s="225"/>
      <c r="F40" s="241">
        <f ca="1">+C14-F41</f>
        <v>3</v>
      </c>
      <c r="G40" s="241">
        <f>+F14-G41</f>
        <v>3</v>
      </c>
      <c r="H40" s="243"/>
      <c r="I40" s="578">
        <f ca="1">+SUM(F40:G40)</f>
        <v>6</v>
      </c>
      <c r="J40" s="579"/>
      <c r="K40" s="250">
        <f ca="1">+I40/SUM($I$40:$J$43)</f>
        <v>0.8571428571428571</v>
      </c>
      <c r="L40" s="219"/>
      <c r="M40" s="219"/>
      <c r="N40" s="249"/>
      <c r="O40" s="249"/>
      <c r="P40" s="167"/>
      <c r="Q40" s="167"/>
      <c r="R40" s="167"/>
      <c r="S40" s="167"/>
      <c r="T40" s="167"/>
      <c r="U40" s="167"/>
      <c r="V40" s="167"/>
      <c r="W40" s="167"/>
      <c r="X40" s="167"/>
      <c r="Y40" s="167"/>
      <c r="Z40" s="167"/>
    </row>
    <row r="41" spans="1:26" ht="15.95" customHeight="1" x14ac:dyDescent="0.25">
      <c r="A41" s="167"/>
      <c r="B41" s="224"/>
      <c r="C41" s="236" t="s">
        <v>61</v>
      </c>
      <c r="D41" s="225"/>
      <c r="E41" s="225"/>
      <c r="F41" s="241">
        <f ca="1">COUNTIF(Datos!O:O,Reporte!C41)</f>
        <v>0</v>
      </c>
      <c r="G41" s="241">
        <f>COUNTIF(Tabla4[USD],Reporte!C41)</f>
        <v>1</v>
      </c>
      <c r="H41" s="243"/>
      <c r="I41" s="578">
        <f ca="1">+SUM(F41:G41)</f>
        <v>1</v>
      </c>
      <c r="J41" s="579"/>
      <c r="K41" s="250">
        <f t="shared" ref="K41:K43" ca="1" si="0">+I41/SUM($I$40:$J$43)</f>
        <v>0.14285714285714285</v>
      </c>
      <c r="L41" s="219"/>
      <c r="M41" s="219"/>
      <c r="N41" s="249"/>
      <c r="O41" s="249"/>
      <c r="P41" s="167"/>
      <c r="Q41" s="167"/>
      <c r="R41" s="167"/>
      <c r="S41" s="167"/>
      <c r="T41" s="167"/>
      <c r="U41" s="167"/>
      <c r="V41" s="167"/>
      <c r="W41" s="167"/>
      <c r="X41" s="167"/>
      <c r="Y41" s="167"/>
      <c r="Z41" s="167"/>
    </row>
    <row r="42" spans="1:26" ht="15.95" customHeight="1" x14ac:dyDescent="0.25">
      <c r="A42" s="167"/>
      <c r="B42" s="224"/>
      <c r="C42" s="236" t="s">
        <v>229</v>
      </c>
      <c r="D42" s="225"/>
      <c r="E42" s="225"/>
      <c r="F42" s="241">
        <f ca="1">COUNTIF(Datos!O:O,Reporte!C42)</f>
        <v>0</v>
      </c>
      <c r="G42" s="241">
        <f>COUNTIF(Tabla4[USD],Reporte!C42)</f>
        <v>0</v>
      </c>
      <c r="H42" s="243"/>
      <c r="I42" s="578">
        <f ca="1">+SUM(F42:G42)</f>
        <v>0</v>
      </c>
      <c r="J42" s="579"/>
      <c r="K42" s="250">
        <f t="shared" ca="1" si="0"/>
        <v>0</v>
      </c>
      <c r="L42" s="219"/>
      <c r="M42" s="219"/>
      <c r="N42" s="249"/>
      <c r="O42" s="249"/>
      <c r="P42" s="167"/>
      <c r="Q42" s="167"/>
      <c r="R42" s="167"/>
      <c r="S42" s="167"/>
      <c r="T42" s="167"/>
      <c r="U42" s="167"/>
      <c r="V42" s="167"/>
      <c r="W42" s="167"/>
      <c r="X42" s="167"/>
      <c r="Y42" s="167"/>
      <c r="Z42" s="167"/>
    </row>
    <row r="43" spans="1:26" ht="15.95" customHeight="1" x14ac:dyDescent="0.25">
      <c r="A43" s="167"/>
      <c r="B43" s="224"/>
      <c r="C43" s="236" t="s">
        <v>267</v>
      </c>
      <c r="D43" s="225"/>
      <c r="E43" s="225"/>
      <c r="F43" s="241">
        <f ca="1">COUNTIF(Datos!O:O,Reporte!C43)</f>
        <v>0</v>
      </c>
      <c r="G43" s="241">
        <f>COUNTIF(Tabla4[USD],Reporte!C43)</f>
        <v>0</v>
      </c>
      <c r="H43" s="243"/>
      <c r="I43" s="578">
        <f ca="1">+SUM(F43:G43)</f>
        <v>0</v>
      </c>
      <c r="J43" s="579"/>
      <c r="K43" s="250">
        <f t="shared" ca="1" si="0"/>
        <v>0</v>
      </c>
      <c r="L43" s="219"/>
      <c r="M43" s="219"/>
      <c r="N43" s="249"/>
      <c r="O43" s="249"/>
      <c r="P43" s="167"/>
      <c r="Q43" s="167"/>
      <c r="R43" s="167"/>
      <c r="S43" s="167"/>
      <c r="T43" s="167"/>
      <c r="U43" s="167"/>
      <c r="V43" s="167"/>
      <c r="W43" s="167"/>
      <c r="X43" s="167"/>
      <c r="Y43" s="167"/>
      <c r="Z43" s="167"/>
    </row>
    <row r="44" spans="1:26" ht="9.9499999999999993" customHeight="1" x14ac:dyDescent="0.25">
      <c r="A44" s="167"/>
      <c r="B44" s="224"/>
      <c r="C44" s="236"/>
      <c r="D44" s="225"/>
      <c r="E44" s="225"/>
      <c r="F44" s="228"/>
      <c r="G44" s="494"/>
      <c r="H44" s="225"/>
      <c r="I44" s="245"/>
      <c r="J44" s="246"/>
      <c r="K44" s="219"/>
      <c r="L44" s="219"/>
      <c r="M44" s="219"/>
      <c r="N44" s="249"/>
      <c r="O44" s="249"/>
      <c r="P44" s="167"/>
      <c r="Q44" s="167"/>
      <c r="R44" s="167"/>
      <c r="S44" s="167"/>
      <c r="T44" s="167"/>
      <c r="U44" s="167"/>
      <c r="V44" s="167"/>
      <c r="W44" s="167"/>
      <c r="X44" s="167"/>
      <c r="Y44" s="167"/>
      <c r="Z44" s="167"/>
    </row>
    <row r="45" spans="1:26" ht="9.9499999999999993" customHeight="1" x14ac:dyDescent="0.25">
      <c r="A45" s="167"/>
      <c r="B45" s="224"/>
      <c r="C45" s="228"/>
      <c r="D45" s="229"/>
      <c r="E45" s="229"/>
      <c r="F45" s="229"/>
      <c r="G45" s="229"/>
      <c r="H45" s="229"/>
      <c r="I45" s="229"/>
      <c r="J45" s="229"/>
      <c r="K45" s="251"/>
      <c r="L45" s="251"/>
      <c r="M45" s="251"/>
      <c r="N45" s="252"/>
      <c r="O45" s="249"/>
      <c r="P45" s="167"/>
      <c r="Q45" s="167"/>
      <c r="R45" s="167"/>
      <c r="S45" s="167"/>
      <c r="T45" s="167"/>
      <c r="U45" s="167"/>
      <c r="V45" s="167"/>
      <c r="W45" s="167"/>
      <c r="X45" s="167"/>
      <c r="Y45" s="167"/>
      <c r="Z45" s="167"/>
    </row>
    <row r="46" spans="1:26" ht="15.95" customHeight="1" x14ac:dyDescent="0.25">
      <c r="A46" s="167"/>
      <c r="B46" s="224"/>
      <c r="C46" s="225"/>
      <c r="D46" s="225"/>
      <c r="E46" s="225"/>
      <c r="F46" s="225"/>
      <c r="G46" s="225"/>
      <c r="H46" s="225"/>
      <c r="I46" s="225"/>
      <c r="J46" s="225"/>
      <c r="K46" s="219"/>
      <c r="L46" s="219"/>
      <c r="M46" s="219"/>
      <c r="N46" s="219"/>
      <c r="O46" s="249"/>
      <c r="P46" s="167"/>
      <c r="Q46" s="167"/>
      <c r="R46" s="167"/>
      <c r="S46" s="167"/>
      <c r="T46" s="167"/>
      <c r="U46" s="167"/>
      <c r="V46" s="167"/>
      <c r="W46" s="167"/>
      <c r="X46" s="167"/>
      <c r="Y46" s="167"/>
      <c r="Z46" s="167"/>
    </row>
    <row r="47" spans="1:26" ht="9.9499999999999993" customHeight="1" x14ac:dyDescent="0.25">
      <c r="A47" s="167"/>
      <c r="B47" s="224"/>
      <c r="C47" s="231"/>
      <c r="D47" s="232"/>
      <c r="E47" s="232"/>
      <c r="F47" s="232"/>
      <c r="G47" s="232"/>
      <c r="H47" s="232"/>
      <c r="I47" s="232"/>
      <c r="J47" s="232"/>
      <c r="K47" s="232"/>
      <c r="L47" s="232"/>
      <c r="M47" s="232"/>
      <c r="N47" s="233"/>
      <c r="O47" s="227"/>
      <c r="P47" s="167"/>
      <c r="Q47" s="167"/>
      <c r="R47" s="167"/>
      <c r="S47" s="167"/>
      <c r="T47" s="167"/>
      <c r="U47" s="167"/>
      <c r="V47" s="167"/>
      <c r="W47" s="167"/>
      <c r="X47" s="167"/>
      <c r="Y47" s="167"/>
      <c r="Z47" s="167"/>
    </row>
    <row r="48" spans="1:26" ht="18" customHeight="1" x14ac:dyDescent="0.25">
      <c r="A48" s="167"/>
      <c r="B48" s="224"/>
      <c r="C48" s="572" t="s">
        <v>28</v>
      </c>
      <c r="D48" s="573"/>
      <c r="E48" s="225"/>
      <c r="F48" s="225"/>
      <c r="G48" s="225"/>
      <c r="H48" s="225"/>
      <c r="I48" s="225"/>
      <c r="J48" s="225"/>
      <c r="K48" s="219"/>
      <c r="L48" s="219"/>
      <c r="M48" s="219"/>
      <c r="N48" s="249"/>
      <c r="O48" s="227"/>
      <c r="P48" s="167"/>
      <c r="Q48" s="167"/>
      <c r="R48" s="167"/>
      <c r="S48" s="167"/>
      <c r="T48" s="167"/>
      <c r="U48" s="167"/>
      <c r="V48" s="167"/>
      <c r="W48" s="167"/>
      <c r="X48" s="167"/>
      <c r="Y48" s="167"/>
      <c r="Z48" s="167"/>
    </row>
    <row r="49" spans="1:26" ht="9.9499999999999993" customHeight="1" x14ac:dyDescent="0.25">
      <c r="A49" s="167"/>
      <c r="B49" s="224"/>
      <c r="C49" s="234"/>
      <c r="D49" s="235"/>
      <c r="E49" s="225"/>
      <c r="F49" s="237"/>
      <c r="G49" s="238"/>
      <c r="H49" s="225"/>
      <c r="I49" s="580"/>
      <c r="J49" s="581"/>
      <c r="K49" s="219"/>
      <c r="L49" s="219"/>
      <c r="M49" s="219"/>
      <c r="N49" s="249"/>
      <c r="O49" s="227"/>
      <c r="P49" s="167"/>
      <c r="Q49" s="167"/>
      <c r="R49" s="167"/>
      <c r="S49" s="167"/>
      <c r="T49" s="167"/>
      <c r="U49" s="167"/>
      <c r="V49" s="167"/>
      <c r="W49" s="167"/>
      <c r="X49" s="167"/>
      <c r="Y49" s="167"/>
      <c r="Z49" s="167"/>
    </row>
    <row r="50" spans="1:26" ht="15.95" customHeight="1" x14ac:dyDescent="0.25">
      <c r="A50" s="167"/>
      <c r="B50" s="224"/>
      <c r="C50" s="224"/>
      <c r="D50" s="225"/>
      <c r="E50" s="225"/>
      <c r="F50" s="261" t="s">
        <v>18</v>
      </c>
      <c r="G50" s="262" t="s">
        <v>49</v>
      </c>
      <c r="H50" s="219"/>
      <c r="I50" s="576" t="s">
        <v>268</v>
      </c>
      <c r="J50" s="577"/>
      <c r="K50" s="219"/>
      <c r="L50" s="219"/>
      <c r="M50" s="219"/>
      <c r="N50" s="249"/>
      <c r="O50" s="227"/>
      <c r="P50" s="167"/>
      <c r="Q50" s="167"/>
      <c r="R50" s="167"/>
      <c r="S50" s="167"/>
      <c r="T50" s="167"/>
      <c r="U50" s="167"/>
      <c r="V50" s="167"/>
      <c r="W50" s="167"/>
      <c r="X50" s="167"/>
      <c r="Y50" s="167"/>
      <c r="Z50" s="167"/>
    </row>
    <row r="51" spans="1:26" ht="9.9499999999999993" customHeight="1" x14ac:dyDescent="0.25">
      <c r="A51" s="167"/>
      <c r="B51" s="224"/>
      <c r="C51" s="224"/>
      <c r="D51" s="225"/>
      <c r="E51" s="225"/>
      <c r="F51" s="239"/>
      <c r="G51" s="240"/>
      <c r="H51" s="225"/>
      <c r="I51" s="247"/>
      <c r="J51" s="248"/>
      <c r="K51" s="219"/>
      <c r="L51" s="219"/>
      <c r="M51" s="219"/>
      <c r="N51" s="249"/>
      <c r="O51" s="227"/>
      <c r="P51" s="167"/>
      <c r="Q51" s="167"/>
      <c r="R51" s="167"/>
      <c r="S51" s="167"/>
      <c r="T51" s="167"/>
      <c r="U51" s="167"/>
      <c r="V51" s="167"/>
      <c r="W51" s="167"/>
      <c r="X51" s="167"/>
      <c r="Y51" s="167"/>
      <c r="Z51" s="167"/>
    </row>
    <row r="52" spans="1:26" ht="15.95" customHeight="1" x14ac:dyDescent="0.25">
      <c r="A52" s="167"/>
      <c r="B52" s="224"/>
      <c r="C52" s="236" t="s">
        <v>17</v>
      </c>
      <c r="D52" s="225"/>
      <c r="E52" s="225"/>
      <c r="F52" s="241">
        <f ca="1">+SUMIFS(Tabla4[Valor Residual ARS x SGR],Tabla4[Tipo],C52)</f>
        <v>200000000.18928757</v>
      </c>
      <c r="G52" s="241">
        <f>+SUMIFS(Tabla4[Valor Residual USD x SGR],Tabla4[Tipo],C52)</f>
        <v>480470.31333333324</v>
      </c>
      <c r="H52" s="243"/>
      <c r="I52" s="578">
        <f ca="1">+F52+G52*VLOOKUP(WORKDAY.INTL($N$6,-1,1),'Tasas-TC'!A:C,3,FALSE)</f>
        <v>755505362.35588741</v>
      </c>
      <c r="J52" s="579"/>
      <c r="K52" s="250">
        <f ca="1">+I52/SUM($I$52:$J$55)</f>
        <v>0.11558511134614656</v>
      </c>
      <c r="L52" s="250">
        <f t="shared" ref="L52:M55" ca="1" si="1">+J52/SUM($I$40:$J$43)</f>
        <v>0</v>
      </c>
      <c r="M52" s="250">
        <f t="shared" ca="1" si="1"/>
        <v>1.6512158763735223E-2</v>
      </c>
      <c r="N52" s="249"/>
      <c r="O52" s="227"/>
      <c r="P52" s="167"/>
      <c r="Q52" s="167"/>
      <c r="R52" s="167"/>
      <c r="S52" s="167"/>
      <c r="T52" s="167"/>
      <c r="U52" s="167"/>
      <c r="V52" s="167"/>
      <c r="W52" s="167"/>
      <c r="X52" s="167"/>
      <c r="Y52" s="167"/>
      <c r="Z52" s="167"/>
    </row>
    <row r="53" spans="1:26" ht="15.95" customHeight="1" x14ac:dyDescent="0.25">
      <c r="A53" s="167"/>
      <c r="B53" s="224"/>
      <c r="C53" s="236" t="s">
        <v>61</v>
      </c>
      <c r="D53" s="225"/>
      <c r="E53" s="225"/>
      <c r="F53" s="241">
        <f>+SUMIFS(Tabla4[Valor Residual ARS x SGR],Tabla4[Tipo],C53)</f>
        <v>0</v>
      </c>
      <c r="G53" s="241">
        <f>+SUMIFS(Tabla4[Valor Residual USD x SGR],Tabla4[Tipo],C53)</f>
        <v>5000000</v>
      </c>
      <c r="H53" s="243"/>
      <c r="I53" s="578">
        <f>+F53+G53*VLOOKUP(WORKDAY.INTL($N$6,-1,1),'Tasas-TC'!A:C,3,FALSE)</f>
        <v>5780850000</v>
      </c>
      <c r="J53" s="579"/>
      <c r="K53" s="250">
        <f t="shared" ref="K53:K55" ca="1" si="2">+I53/SUM($I$52:$J$55)</f>
        <v>0.88441488865385343</v>
      </c>
      <c r="L53" s="250">
        <f t="shared" ca="1" si="1"/>
        <v>0</v>
      </c>
      <c r="M53" s="250">
        <f t="shared" ca="1" si="1"/>
        <v>0.12634498409340764</v>
      </c>
      <c r="N53" s="249"/>
      <c r="O53" s="227"/>
      <c r="P53" s="167"/>
      <c r="Q53" s="167"/>
      <c r="R53" s="167"/>
      <c r="S53" s="167"/>
      <c r="T53" s="167"/>
      <c r="U53" s="167"/>
      <c r="V53" s="167"/>
      <c r="W53" s="167"/>
      <c r="X53" s="167"/>
      <c r="Y53" s="167"/>
      <c r="Z53" s="167"/>
    </row>
    <row r="54" spans="1:26" ht="15.95" customHeight="1" x14ac:dyDescent="0.25">
      <c r="A54" s="167"/>
      <c r="B54" s="224"/>
      <c r="C54" s="236" t="s">
        <v>229</v>
      </c>
      <c r="D54" s="225"/>
      <c r="E54" s="225"/>
      <c r="F54" s="241">
        <f>+SUMIFS(Tabla4[Valor Residual ARS],Tabla4[Tipo],C54)</f>
        <v>0</v>
      </c>
      <c r="G54" s="241">
        <f>+SUMIFS(Tabla4[Valor Residual ARS],Tabla4[Tipo],C54)</f>
        <v>0</v>
      </c>
      <c r="H54" s="243"/>
      <c r="I54" s="578">
        <f>+F54+G54*VLOOKUP(WORKDAY.INTL($N$6,-1,1),'Tasas-TC'!A:C,3,FALSE)</f>
        <v>0</v>
      </c>
      <c r="J54" s="579"/>
      <c r="K54" s="250">
        <f t="shared" ca="1" si="2"/>
        <v>0</v>
      </c>
      <c r="L54" s="250">
        <f t="shared" ca="1" si="1"/>
        <v>0</v>
      </c>
      <c r="M54" s="250">
        <f t="shared" ca="1" si="1"/>
        <v>0</v>
      </c>
      <c r="N54" s="249"/>
      <c r="O54" s="227"/>
      <c r="P54" s="167"/>
      <c r="Q54" s="167"/>
      <c r="R54" s="167"/>
      <c r="S54" s="167"/>
      <c r="T54" s="167"/>
      <c r="U54" s="167"/>
      <c r="V54" s="167"/>
      <c r="W54" s="167"/>
      <c r="X54" s="167"/>
      <c r="Y54" s="167"/>
      <c r="Z54" s="167"/>
    </row>
    <row r="55" spans="1:26" ht="15.95" customHeight="1" x14ac:dyDescent="0.25">
      <c r="A55" s="167"/>
      <c r="B55" s="224"/>
      <c r="C55" s="236" t="s">
        <v>267</v>
      </c>
      <c r="D55" s="225"/>
      <c r="E55" s="225"/>
      <c r="F55" s="241">
        <f>+SUMIFS(Tabla4[Valor Residual ARS],Tabla4[Tipo],C55)</f>
        <v>0</v>
      </c>
      <c r="G55" s="242">
        <f>+SUMIF(USD!$O:$O,$C55,USD!$J:$J)</f>
        <v>0</v>
      </c>
      <c r="H55" s="243"/>
      <c r="I55" s="578">
        <f>+F55+G55*VLOOKUP(WORKDAY.INTL($N$6,-1,1),'Tasas-TC'!A:C,3,FALSE)</f>
        <v>0</v>
      </c>
      <c r="J55" s="579"/>
      <c r="K55" s="250">
        <f t="shared" ca="1" si="2"/>
        <v>0</v>
      </c>
      <c r="L55" s="250">
        <f t="shared" ca="1" si="1"/>
        <v>0</v>
      </c>
      <c r="M55" s="250">
        <f t="shared" ca="1" si="1"/>
        <v>0</v>
      </c>
      <c r="N55" s="249"/>
      <c r="O55" s="227"/>
      <c r="P55" s="167"/>
      <c r="Q55" s="167"/>
      <c r="R55" s="167"/>
      <c r="S55" s="167"/>
      <c r="T55" s="167"/>
      <c r="U55" s="167"/>
      <c r="V55" s="167"/>
      <c r="W55" s="167"/>
      <c r="X55" s="167"/>
      <c r="Y55" s="167"/>
      <c r="Z55" s="167"/>
    </row>
    <row r="56" spans="1:26" ht="9.9499999999999993" customHeight="1" x14ac:dyDescent="0.25">
      <c r="A56" s="167"/>
      <c r="B56" s="224"/>
      <c r="C56" s="236"/>
      <c r="D56" s="225"/>
      <c r="E56" s="225"/>
      <c r="F56" s="228"/>
      <c r="G56" s="244"/>
      <c r="H56" s="225"/>
      <c r="I56" s="245"/>
      <c r="J56" s="246"/>
      <c r="K56" s="219"/>
      <c r="L56" s="219"/>
      <c r="M56" s="219"/>
      <c r="N56" s="249"/>
      <c r="O56" s="227"/>
      <c r="P56" s="167"/>
      <c r="Q56" s="167"/>
      <c r="R56" s="167"/>
      <c r="S56" s="167"/>
      <c r="T56" s="167"/>
      <c r="U56" s="167"/>
      <c r="V56" s="167"/>
      <c r="W56" s="167"/>
      <c r="X56" s="167"/>
      <c r="Y56" s="167"/>
      <c r="Z56" s="167"/>
    </row>
    <row r="57" spans="1:26" ht="9.9499999999999993" customHeight="1" x14ac:dyDescent="0.25">
      <c r="A57" s="167"/>
      <c r="B57" s="224"/>
      <c r="C57" s="228"/>
      <c r="D57" s="229"/>
      <c r="E57" s="229"/>
      <c r="F57" s="229"/>
      <c r="G57" s="229"/>
      <c r="H57" s="229"/>
      <c r="I57" s="229"/>
      <c r="J57" s="229"/>
      <c r="K57" s="251"/>
      <c r="L57" s="251"/>
      <c r="M57" s="251"/>
      <c r="N57" s="252"/>
      <c r="O57" s="227"/>
      <c r="P57" s="167"/>
      <c r="Q57" s="167"/>
      <c r="R57" s="167"/>
      <c r="S57" s="167"/>
      <c r="T57" s="167"/>
      <c r="U57" s="167"/>
      <c r="V57" s="167"/>
      <c r="W57" s="167"/>
      <c r="X57" s="167"/>
      <c r="Y57" s="167"/>
      <c r="Z57" s="167"/>
    </row>
    <row r="58" spans="1:26" ht="15.95" customHeight="1" x14ac:dyDescent="0.25">
      <c r="A58" s="167"/>
      <c r="B58" s="220"/>
      <c r="C58" s="221"/>
      <c r="D58" s="221"/>
      <c r="E58" s="221"/>
      <c r="F58" s="221"/>
      <c r="G58" s="221"/>
      <c r="H58" s="221"/>
      <c r="I58" s="221"/>
      <c r="J58" s="221"/>
      <c r="K58" s="218"/>
      <c r="L58" s="218"/>
      <c r="M58" s="218"/>
      <c r="N58" s="218"/>
      <c r="O58" s="223"/>
      <c r="P58" s="167"/>
      <c r="Q58" s="167"/>
      <c r="R58" s="167"/>
      <c r="S58" s="167"/>
      <c r="T58" s="167"/>
      <c r="U58" s="167"/>
      <c r="V58" s="167"/>
      <c r="W58" s="167"/>
      <c r="X58" s="167"/>
      <c r="Y58" s="167"/>
      <c r="Z58" s="167"/>
    </row>
    <row r="59" spans="1:26" ht="15.95" customHeight="1" x14ac:dyDescent="0.25">
      <c r="A59" s="167"/>
      <c r="B59" s="224"/>
      <c r="C59" s="225"/>
      <c r="D59" s="225"/>
      <c r="E59" s="225"/>
      <c r="F59" s="225"/>
      <c r="G59" s="225"/>
      <c r="H59" s="225"/>
      <c r="I59" s="225"/>
      <c r="J59" s="225"/>
      <c r="K59" s="225"/>
      <c r="L59" s="225"/>
      <c r="M59" s="225"/>
      <c r="N59" s="225"/>
      <c r="O59" s="227"/>
      <c r="P59" s="167"/>
      <c r="Q59" s="167"/>
      <c r="R59" s="167"/>
      <c r="S59" s="167"/>
      <c r="T59" s="167"/>
      <c r="U59" s="167"/>
      <c r="V59" s="167"/>
      <c r="W59" s="167"/>
      <c r="X59" s="167"/>
      <c r="Y59" s="167"/>
      <c r="Z59" s="167"/>
    </row>
    <row r="60" spans="1:26" ht="20.100000000000001" customHeight="1" x14ac:dyDescent="0.25">
      <c r="A60" s="167"/>
      <c r="B60" s="569" t="s">
        <v>279</v>
      </c>
      <c r="C60" s="570"/>
      <c r="D60" s="570"/>
      <c r="E60" s="570"/>
      <c r="F60" s="570"/>
      <c r="G60" s="570"/>
      <c r="H60" s="570"/>
      <c r="I60" s="570"/>
      <c r="J60" s="570"/>
      <c r="K60" s="570"/>
      <c r="L60" s="570"/>
      <c r="M60" s="570"/>
      <c r="N60" s="570"/>
      <c r="O60" s="571"/>
      <c r="P60" s="167"/>
      <c r="Q60" s="167"/>
      <c r="R60" s="167"/>
      <c r="S60" s="167"/>
      <c r="T60" s="167"/>
      <c r="U60" s="167"/>
      <c r="V60" s="167"/>
      <c r="W60" s="167"/>
      <c r="X60" s="167"/>
      <c r="Y60" s="167"/>
      <c r="Z60" s="167"/>
    </row>
    <row r="61" spans="1:26" ht="15.95" customHeight="1" x14ac:dyDescent="0.25">
      <c r="A61" s="219"/>
      <c r="B61" s="224"/>
      <c r="C61" s="225"/>
      <c r="D61" s="225"/>
      <c r="E61" s="225"/>
      <c r="F61" s="225"/>
      <c r="G61" s="225"/>
      <c r="H61" s="225"/>
      <c r="I61" s="225"/>
      <c r="J61" s="225"/>
      <c r="K61" s="225"/>
      <c r="L61" s="225"/>
      <c r="M61" s="225"/>
      <c r="N61" s="225"/>
      <c r="O61" s="227"/>
      <c r="P61" s="219"/>
      <c r="Q61" s="167"/>
      <c r="R61" s="167"/>
      <c r="S61" s="167"/>
      <c r="T61" s="167"/>
      <c r="U61" s="167"/>
      <c r="V61" s="167"/>
      <c r="W61" s="167"/>
      <c r="X61" s="167"/>
      <c r="Y61" s="167"/>
      <c r="Z61" s="167"/>
    </row>
    <row r="62" spans="1:26" ht="9.9499999999999993" customHeight="1" x14ac:dyDescent="0.25">
      <c r="A62" s="219"/>
      <c r="B62" s="224"/>
      <c r="C62" s="225"/>
      <c r="D62" s="225"/>
      <c r="E62" s="225"/>
      <c r="F62" s="225"/>
      <c r="G62" s="225"/>
      <c r="H62" s="225"/>
      <c r="I62" s="225"/>
      <c r="J62" s="574"/>
      <c r="K62" s="575"/>
      <c r="L62" s="225"/>
      <c r="M62" s="260"/>
      <c r="N62" s="260"/>
      <c r="O62" s="227"/>
      <c r="P62" s="219"/>
      <c r="Q62" s="167"/>
      <c r="R62" s="167"/>
      <c r="S62" s="167"/>
      <c r="T62" s="167"/>
      <c r="U62" s="167"/>
      <c r="V62" s="167"/>
      <c r="W62" s="167"/>
      <c r="X62" s="167"/>
      <c r="Y62" s="167"/>
      <c r="Z62" s="167"/>
    </row>
    <row r="63" spans="1:26" ht="15.95" customHeight="1" x14ac:dyDescent="0.25">
      <c r="A63" s="219"/>
      <c r="B63" s="224"/>
      <c r="C63" s="225"/>
      <c r="D63" s="225"/>
      <c r="E63" s="225"/>
      <c r="F63" s="225"/>
      <c r="G63" s="225"/>
      <c r="H63" s="225"/>
      <c r="I63" s="225"/>
      <c r="J63" s="543" t="s">
        <v>282</v>
      </c>
      <c r="K63" s="546"/>
      <c r="L63" s="225"/>
      <c r="M63" s="263" t="s">
        <v>280</v>
      </c>
      <c r="N63" s="264" t="s">
        <v>281</v>
      </c>
      <c r="O63" s="227"/>
      <c r="P63" s="219"/>
      <c r="Q63" s="167"/>
      <c r="R63" s="167"/>
      <c r="S63" s="167"/>
      <c r="T63" s="167"/>
      <c r="U63" s="167"/>
      <c r="V63" s="167"/>
      <c r="W63" s="167"/>
      <c r="X63" s="167"/>
      <c r="Y63" s="167"/>
      <c r="Z63" s="167"/>
    </row>
    <row r="64" spans="1:26" ht="9.9499999999999993" customHeight="1" x14ac:dyDescent="0.25">
      <c r="A64" s="219"/>
      <c r="B64" s="224"/>
      <c r="C64" s="225"/>
      <c r="D64" s="225"/>
      <c r="E64" s="225"/>
      <c r="F64" s="225"/>
      <c r="G64" s="225"/>
      <c r="H64" s="225"/>
      <c r="I64" s="225"/>
      <c r="J64" s="224"/>
      <c r="K64" s="227"/>
      <c r="L64" s="225"/>
      <c r="M64" s="259">
        <f ca="1">+F17</f>
        <v>7</v>
      </c>
      <c r="N64" s="254"/>
      <c r="O64" s="227"/>
      <c r="P64" s="219"/>
      <c r="Q64" s="167"/>
      <c r="R64" s="167"/>
      <c r="S64" s="167"/>
      <c r="T64" s="167"/>
      <c r="U64" s="167"/>
      <c r="V64" s="167"/>
      <c r="W64" s="167"/>
      <c r="X64" s="167"/>
      <c r="Y64" s="167"/>
      <c r="Z64" s="167"/>
    </row>
    <row r="65" spans="1:26" ht="15.95" customHeight="1" x14ac:dyDescent="0.25">
      <c r="A65" s="219"/>
      <c r="B65" s="224"/>
      <c r="C65" s="225"/>
      <c r="D65" s="225"/>
      <c r="E65" s="225"/>
      <c r="F65" s="225"/>
      <c r="G65" s="225"/>
      <c r="H65" s="225"/>
      <c r="I65" s="253"/>
      <c r="J65" s="255" t="s">
        <v>276</v>
      </c>
      <c r="K65" s="227"/>
      <c r="L65" s="225"/>
      <c r="M65" s="265">
        <f>+COUNTIF(ARS!D:D,"Individualización N°")+COUNTIF(USD!D:D,"Individualización N°")</f>
        <v>1</v>
      </c>
      <c r="N65" s="266">
        <f ca="1">+M65/$F$17</f>
        <v>0.14285714285714285</v>
      </c>
      <c r="O65" s="227"/>
      <c r="P65" s="219"/>
      <c r="Q65" s="167"/>
      <c r="R65" s="167"/>
      <c r="S65" s="167"/>
      <c r="T65" s="167"/>
      <c r="U65" s="167"/>
      <c r="V65" s="167"/>
      <c r="W65" s="167"/>
      <c r="X65" s="167"/>
      <c r="Y65" s="167"/>
      <c r="Z65" s="167"/>
    </row>
    <row r="66" spans="1:26" ht="15.95" customHeight="1" x14ac:dyDescent="0.25">
      <c r="A66" s="219"/>
      <c r="B66" s="224"/>
      <c r="C66" s="225"/>
      <c r="D66" s="225"/>
      <c r="E66" s="225"/>
      <c r="F66" s="225"/>
      <c r="G66" s="225"/>
      <c r="H66" s="225"/>
      <c r="I66" s="253"/>
      <c r="J66" s="255" t="s">
        <v>277</v>
      </c>
      <c r="K66" s="227"/>
      <c r="L66" s="225"/>
      <c r="M66" s="265">
        <f>+COUNTIF(ARS!D:D,"Suspensión N°")+COUNTIF(USD!D:D,"Suspensión N°")</f>
        <v>1</v>
      </c>
      <c r="N66" s="266">
        <f ca="1">+M66/$F$17</f>
        <v>0.14285714285714285</v>
      </c>
      <c r="O66" s="227"/>
      <c r="P66" s="219"/>
      <c r="Q66" s="167"/>
      <c r="R66" s="167"/>
      <c r="S66" s="167"/>
      <c r="T66" s="167"/>
      <c r="U66" s="167"/>
      <c r="V66" s="167"/>
      <c r="W66" s="167"/>
      <c r="X66" s="167"/>
      <c r="Y66" s="167"/>
      <c r="Z66" s="167"/>
    </row>
    <row r="67" spans="1:26" ht="15.95" customHeight="1" x14ac:dyDescent="0.25">
      <c r="A67" s="219"/>
      <c r="B67" s="224"/>
      <c r="C67" s="225"/>
      <c r="D67" s="225"/>
      <c r="E67" s="225"/>
      <c r="F67" s="225"/>
      <c r="G67" s="225"/>
      <c r="H67" s="225"/>
      <c r="I67" s="253"/>
      <c r="J67" s="255" t="s">
        <v>278</v>
      </c>
      <c r="K67" s="227"/>
      <c r="L67" s="225"/>
      <c r="M67" s="265">
        <f>+COUNTIF(ARS!D:D,"Rueda Reducida N°")+COUNTIF(USD!D:D,"Rueda Reducida N°")</f>
        <v>0</v>
      </c>
      <c r="N67" s="266">
        <f ca="1">+M67/$F$17</f>
        <v>0</v>
      </c>
      <c r="O67" s="227"/>
      <c r="P67" s="219"/>
      <c r="Q67" s="167"/>
      <c r="R67" s="167"/>
      <c r="S67" s="167"/>
      <c r="T67" s="167"/>
      <c r="U67" s="167"/>
      <c r="V67" s="167"/>
      <c r="W67" s="167"/>
      <c r="X67" s="167"/>
      <c r="Y67" s="167"/>
      <c r="Z67" s="167"/>
    </row>
    <row r="68" spans="1:26" ht="9.9499999999999993" customHeight="1" x14ac:dyDescent="0.25">
      <c r="A68" s="219"/>
      <c r="B68" s="224"/>
      <c r="C68" s="225"/>
      <c r="D68" s="225"/>
      <c r="E68" s="225"/>
      <c r="F68" s="225"/>
      <c r="G68" s="225"/>
      <c r="H68" s="225"/>
      <c r="I68" s="225"/>
      <c r="J68" s="256"/>
      <c r="K68" s="230"/>
      <c r="L68" s="225"/>
      <c r="M68" s="257"/>
      <c r="N68" s="258"/>
      <c r="O68" s="227"/>
      <c r="P68" s="219"/>
      <c r="Q68" s="167"/>
      <c r="R68" s="167"/>
      <c r="S68" s="167"/>
      <c r="T68" s="167"/>
      <c r="U68" s="167"/>
      <c r="V68" s="167"/>
      <c r="W68" s="167"/>
      <c r="X68" s="167"/>
      <c r="Y68" s="167"/>
      <c r="Z68" s="167"/>
    </row>
    <row r="69" spans="1:26" ht="15.95" customHeight="1" x14ac:dyDescent="0.25">
      <c r="A69" s="219"/>
      <c r="B69" s="224"/>
      <c r="C69" s="225"/>
      <c r="D69" s="225"/>
      <c r="E69" s="225"/>
      <c r="F69" s="225"/>
      <c r="G69" s="225"/>
      <c r="H69" s="225"/>
      <c r="I69" s="225"/>
      <c r="J69" s="225"/>
      <c r="K69" s="225"/>
      <c r="L69" s="225"/>
      <c r="M69" s="225"/>
      <c r="N69" s="225"/>
      <c r="O69" s="227"/>
      <c r="P69" s="219"/>
      <c r="Q69" s="167"/>
      <c r="R69" s="167"/>
      <c r="S69" s="167"/>
      <c r="T69" s="167"/>
      <c r="U69" s="167"/>
      <c r="V69" s="167"/>
      <c r="W69" s="167"/>
      <c r="X69" s="167"/>
      <c r="Y69" s="167"/>
      <c r="Z69" s="167"/>
    </row>
    <row r="70" spans="1:26" ht="15.95" customHeight="1" x14ac:dyDescent="0.25">
      <c r="A70" s="219"/>
      <c r="B70" s="220"/>
      <c r="C70" s="221"/>
      <c r="D70" s="221"/>
      <c r="E70" s="221"/>
      <c r="F70" s="221"/>
      <c r="G70" s="221"/>
      <c r="H70" s="221"/>
      <c r="I70" s="221"/>
      <c r="J70" s="221"/>
      <c r="K70" s="221"/>
      <c r="L70" s="221"/>
      <c r="M70" s="221"/>
      <c r="N70" s="221"/>
      <c r="O70" s="223"/>
      <c r="P70" s="219"/>
      <c r="Q70" s="167"/>
      <c r="R70" s="167"/>
      <c r="S70" s="167"/>
      <c r="T70" s="167"/>
      <c r="U70" s="167"/>
      <c r="V70" s="167"/>
      <c r="W70" s="167"/>
      <c r="X70" s="167"/>
      <c r="Y70" s="167"/>
      <c r="Z70" s="167"/>
    </row>
    <row r="71" spans="1:26" ht="15.95" customHeight="1" x14ac:dyDescent="0.25">
      <c r="A71" s="219"/>
      <c r="B71" s="228"/>
      <c r="C71" s="229"/>
      <c r="D71" s="229"/>
      <c r="E71" s="229"/>
      <c r="F71" s="229"/>
      <c r="G71" s="229"/>
      <c r="H71" s="229"/>
      <c r="I71" s="229"/>
      <c r="J71" s="229"/>
      <c r="K71" s="229"/>
      <c r="L71" s="229"/>
      <c r="M71" s="229"/>
      <c r="N71" s="229"/>
      <c r="O71" s="230"/>
      <c r="P71" s="219"/>
      <c r="Q71" s="167"/>
      <c r="R71" s="167"/>
      <c r="S71" s="167"/>
      <c r="T71" s="167"/>
      <c r="U71" s="167"/>
      <c r="V71" s="167"/>
      <c r="W71" s="167"/>
      <c r="X71" s="167"/>
      <c r="Y71" s="167"/>
      <c r="Z71" s="167"/>
    </row>
    <row r="72" spans="1:26" ht="9.9499999999999993" customHeight="1" x14ac:dyDescent="0.25">
      <c r="A72" s="219"/>
      <c r="B72" s="219"/>
      <c r="C72" s="219"/>
      <c r="D72" s="219"/>
      <c r="E72" s="219"/>
      <c r="F72" s="219"/>
      <c r="G72" s="219"/>
      <c r="H72" s="219"/>
      <c r="I72" s="219"/>
      <c r="J72" s="219"/>
      <c r="K72" s="219"/>
      <c r="L72" s="219"/>
      <c r="M72" s="219"/>
      <c r="N72" s="219"/>
      <c r="O72" s="219"/>
      <c r="P72" s="219"/>
      <c r="Q72" s="167"/>
      <c r="R72" s="167"/>
      <c r="S72" s="167"/>
      <c r="T72" s="167"/>
      <c r="U72" s="167"/>
      <c r="V72" s="167"/>
      <c r="W72" s="167"/>
      <c r="X72" s="167"/>
      <c r="Y72" s="167"/>
      <c r="Z72" s="167"/>
    </row>
    <row r="73" spans="1:26"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row>
    <row r="74" spans="1:26"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row>
    <row r="75" spans="1:26"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row>
  </sheetData>
  <sortState xmlns:xlrd2="http://schemas.microsoft.com/office/spreadsheetml/2017/richdata2" ref="C21:C105">
    <sortCondition ref="C21:C105"/>
  </sortState>
  <mergeCells count="34">
    <mergeCell ref="B60:O60"/>
    <mergeCell ref="J62:K62"/>
    <mergeCell ref="J63:K63"/>
    <mergeCell ref="I50:J50"/>
    <mergeCell ref="I52:J52"/>
    <mergeCell ref="I53:J53"/>
    <mergeCell ref="I54:J54"/>
    <mergeCell ref="I55:J55"/>
    <mergeCell ref="I41:J41"/>
    <mergeCell ref="I42:J42"/>
    <mergeCell ref="I43:J43"/>
    <mergeCell ref="C48:D48"/>
    <mergeCell ref="I49:J49"/>
    <mergeCell ref="B33:O33"/>
    <mergeCell ref="C36:F36"/>
    <mergeCell ref="I37:J37"/>
    <mergeCell ref="I38:J38"/>
    <mergeCell ref="I40:J40"/>
    <mergeCell ref="J14:K15"/>
    <mergeCell ref="M14:N15"/>
    <mergeCell ref="F17:G18"/>
    <mergeCell ref="C17:E18"/>
    <mergeCell ref="J17:L18"/>
    <mergeCell ref="M17:N18"/>
    <mergeCell ref="C14:D15"/>
    <mergeCell ref="F14:G15"/>
    <mergeCell ref="K4:N4"/>
    <mergeCell ref="K3:N3"/>
    <mergeCell ref="C10:G10"/>
    <mergeCell ref="C13:D13"/>
    <mergeCell ref="F13:G13"/>
    <mergeCell ref="J10:N10"/>
    <mergeCell ref="J13:K13"/>
    <mergeCell ref="M13:N13"/>
  </mergeCells>
  <printOptions horizontalCentered="1" verticalCentered="1"/>
  <pageMargins left="0" right="0" top="7.874015748031496E-2" bottom="7.874015748031496E-2" header="0.31496062992125984" footer="0.31496062992125984"/>
  <pageSetup paperSize="9" scale="4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3" tint="-0.499984740745262"/>
  </sheetPr>
  <dimension ref="A1:H2460"/>
  <sheetViews>
    <sheetView topLeftCell="A2197" workbookViewId="0">
      <selection activeCell="F2205" sqref="F2205"/>
    </sheetView>
  </sheetViews>
  <sheetFormatPr baseColWidth="10" defaultRowHeight="15" x14ac:dyDescent="0.25"/>
  <cols>
    <col min="1" max="1" width="13.7109375" style="12" customWidth="1"/>
  </cols>
  <sheetData>
    <row r="1" spans="1:8" x14ac:dyDescent="0.25">
      <c r="A1" s="1"/>
      <c r="B1" s="2"/>
      <c r="C1" s="2"/>
      <c r="D1" s="2"/>
      <c r="E1" s="2"/>
      <c r="F1" s="2"/>
      <c r="G1" s="2"/>
      <c r="H1" s="3"/>
    </row>
    <row r="2" spans="1:8" ht="18.75" x14ac:dyDescent="0.25">
      <c r="A2" s="4"/>
      <c r="B2" s="5"/>
      <c r="C2" s="5"/>
      <c r="D2" s="5"/>
      <c r="E2" s="5"/>
      <c r="F2" s="702" t="s">
        <v>22</v>
      </c>
      <c r="G2" s="702"/>
      <c r="H2" s="702"/>
    </row>
    <row r="3" spans="1:8" x14ac:dyDescent="0.25">
      <c r="A3" s="4"/>
      <c r="B3" s="5"/>
      <c r="C3" s="5"/>
      <c r="D3" s="5"/>
      <c r="E3" s="5"/>
      <c r="F3" s="5"/>
      <c r="G3" s="5"/>
      <c r="H3" s="6"/>
    </row>
    <row r="4" spans="1:8" x14ac:dyDescent="0.25">
      <c r="A4" s="4"/>
      <c r="B4" s="5"/>
      <c r="C4" s="5"/>
      <c r="D4" s="5"/>
      <c r="E4" s="5"/>
      <c r="F4" s="5"/>
      <c r="G4" s="8" t="s">
        <v>0</v>
      </c>
      <c r="H4" s="7">
        <f>+Reporte!N6</f>
        <v>45861</v>
      </c>
    </row>
    <row r="5" spans="1:8" x14ac:dyDescent="0.25">
      <c r="A5" s="9"/>
      <c r="B5" s="10"/>
      <c r="C5" s="10"/>
      <c r="D5" s="10"/>
      <c r="E5" s="10"/>
      <c r="F5" s="10"/>
      <c r="G5" s="10"/>
      <c r="H5" s="11"/>
    </row>
    <row r="6" spans="1:8" ht="8.1" customHeight="1" x14ac:dyDescent="0.25"/>
    <row r="7" spans="1:8" x14ac:dyDescent="0.25">
      <c r="A7" s="705" t="s">
        <v>0</v>
      </c>
      <c r="B7" s="13" t="s">
        <v>23</v>
      </c>
      <c r="C7" s="159" t="s">
        <v>260</v>
      </c>
      <c r="E7" s="158" t="s">
        <v>261</v>
      </c>
      <c r="F7" s="14" t="s">
        <v>24</v>
      </c>
    </row>
    <row r="8" spans="1:8" x14ac:dyDescent="0.25">
      <c r="A8" s="706"/>
      <c r="B8" s="160" t="s">
        <v>20</v>
      </c>
      <c r="C8" s="161" t="s">
        <v>262</v>
      </c>
    </row>
    <row r="9" spans="1:8" x14ac:dyDescent="0.25">
      <c r="A9" s="15">
        <v>42737</v>
      </c>
      <c r="B9" s="16">
        <v>0.198125</v>
      </c>
      <c r="F9" s="17"/>
    </row>
    <row r="10" spans="1:8" x14ac:dyDescent="0.25">
      <c r="A10" s="15">
        <v>42738</v>
      </c>
      <c r="B10" s="16">
        <v>0.20125000000000001</v>
      </c>
      <c r="F10" s="17"/>
    </row>
    <row r="11" spans="1:8" x14ac:dyDescent="0.25">
      <c r="A11" s="15">
        <v>42739</v>
      </c>
      <c r="B11" s="16">
        <v>0.19875000000000001</v>
      </c>
      <c r="F11" s="17"/>
    </row>
    <row r="12" spans="1:8" x14ac:dyDescent="0.25">
      <c r="A12" s="15">
        <v>42740</v>
      </c>
      <c r="B12" s="16">
        <v>0.19750000000000001</v>
      </c>
      <c r="F12" s="17"/>
    </row>
    <row r="13" spans="1:8" x14ac:dyDescent="0.25">
      <c r="A13" s="15">
        <v>42741</v>
      </c>
      <c r="B13" s="16">
        <v>0.19875000000000001</v>
      </c>
      <c r="F13" s="17"/>
    </row>
    <row r="14" spans="1:8" x14ac:dyDescent="0.25">
      <c r="A14" s="15">
        <v>42744</v>
      </c>
      <c r="B14" s="16">
        <v>0.19875000000000001</v>
      </c>
      <c r="F14" s="17"/>
    </row>
    <row r="15" spans="1:8" x14ac:dyDescent="0.25">
      <c r="A15" s="15">
        <v>42745</v>
      </c>
      <c r="B15" s="16">
        <v>0.200625</v>
      </c>
      <c r="F15" s="17"/>
    </row>
    <row r="16" spans="1:8" x14ac:dyDescent="0.25">
      <c r="A16" s="15">
        <v>42746</v>
      </c>
      <c r="B16" s="16">
        <v>0.19625000000000001</v>
      </c>
      <c r="F16" s="17"/>
    </row>
    <row r="17" spans="1:6" x14ac:dyDescent="0.25">
      <c r="A17" s="15">
        <v>42747</v>
      </c>
      <c r="B17" s="16">
        <v>0.19625000000000001</v>
      </c>
      <c r="F17" s="17"/>
    </row>
    <row r="18" spans="1:6" x14ac:dyDescent="0.25">
      <c r="A18" s="15">
        <v>42748</v>
      </c>
      <c r="B18" s="16">
        <v>0.19750000000000001</v>
      </c>
      <c r="F18" s="17"/>
    </row>
    <row r="19" spans="1:6" x14ac:dyDescent="0.25">
      <c r="A19" s="15">
        <v>42751</v>
      </c>
      <c r="B19" s="16">
        <v>0.19750000000000001</v>
      </c>
      <c r="F19" s="17"/>
    </row>
    <row r="20" spans="1:6" x14ac:dyDescent="0.25">
      <c r="A20" s="15">
        <v>42752</v>
      </c>
      <c r="B20" s="16">
        <v>0.19875000000000001</v>
      </c>
      <c r="F20" s="17"/>
    </row>
    <row r="21" spans="1:6" x14ac:dyDescent="0.25">
      <c r="A21" s="15">
        <v>42753</v>
      </c>
      <c r="B21" s="16">
        <v>0.19750000000000001</v>
      </c>
      <c r="F21" s="17"/>
    </row>
    <row r="22" spans="1:6" x14ac:dyDescent="0.25">
      <c r="A22" s="15">
        <v>42754</v>
      </c>
      <c r="B22" s="16">
        <v>0.19625000000000001</v>
      </c>
      <c r="F22" s="17"/>
    </row>
    <row r="23" spans="1:6" x14ac:dyDescent="0.25">
      <c r="A23" s="15">
        <v>42755</v>
      </c>
      <c r="B23" s="16">
        <v>0.19500000000000001</v>
      </c>
      <c r="F23" s="17"/>
    </row>
    <row r="24" spans="1:6" x14ac:dyDescent="0.25">
      <c r="A24" s="15">
        <v>42758</v>
      </c>
      <c r="B24" s="16">
        <v>0.19500000000000001</v>
      </c>
      <c r="F24" s="17"/>
    </row>
    <row r="25" spans="1:6" x14ac:dyDescent="0.25">
      <c r="A25" s="15">
        <v>42759</v>
      </c>
      <c r="B25" s="16">
        <v>0.19625000000000001</v>
      </c>
      <c r="F25" s="17"/>
    </row>
    <row r="26" spans="1:6" x14ac:dyDescent="0.25">
      <c r="A26" s="15">
        <v>42760</v>
      </c>
      <c r="B26" s="16">
        <v>0.19687499999999999</v>
      </c>
      <c r="F26" s="17"/>
    </row>
    <row r="27" spans="1:6" x14ac:dyDescent="0.25">
      <c r="A27" s="15">
        <v>42761</v>
      </c>
      <c r="B27" s="16">
        <v>0.199375</v>
      </c>
      <c r="F27" s="17"/>
    </row>
    <row r="28" spans="1:6" x14ac:dyDescent="0.25">
      <c r="A28" s="15">
        <v>42762</v>
      </c>
      <c r="B28" s="16">
        <v>0.199375</v>
      </c>
      <c r="F28" s="17"/>
    </row>
    <row r="29" spans="1:6" x14ac:dyDescent="0.25">
      <c r="A29" s="15">
        <v>42765</v>
      </c>
      <c r="B29" s="16">
        <v>0.199375</v>
      </c>
      <c r="F29" s="17"/>
    </row>
    <row r="30" spans="1:6" x14ac:dyDescent="0.25">
      <c r="A30" s="15">
        <v>42766</v>
      </c>
      <c r="B30" s="16">
        <v>0.19375000000000001</v>
      </c>
      <c r="F30" s="17"/>
    </row>
    <row r="31" spans="1:6" x14ac:dyDescent="0.25">
      <c r="A31" s="15">
        <v>42767</v>
      </c>
      <c r="B31" s="16">
        <v>0.201875</v>
      </c>
      <c r="F31" s="17"/>
    </row>
    <row r="32" spans="1:6" x14ac:dyDescent="0.25">
      <c r="A32" s="15">
        <v>42768</v>
      </c>
      <c r="B32" s="16">
        <v>0.20250000000000001</v>
      </c>
      <c r="F32" s="17"/>
    </row>
    <row r="33" spans="1:6" x14ac:dyDescent="0.25">
      <c r="A33" s="15">
        <v>42769</v>
      </c>
      <c r="B33" s="16">
        <v>0.2</v>
      </c>
      <c r="F33" s="17"/>
    </row>
    <row r="34" spans="1:6" x14ac:dyDescent="0.25">
      <c r="A34" s="15">
        <v>42772</v>
      </c>
      <c r="B34" s="16">
        <v>0.19625000000000001</v>
      </c>
      <c r="F34" s="17"/>
    </row>
    <row r="35" spans="1:6" x14ac:dyDescent="0.25">
      <c r="A35" s="15">
        <v>42773</v>
      </c>
      <c r="B35" s="16">
        <v>0.200625</v>
      </c>
      <c r="F35" s="17"/>
    </row>
    <row r="36" spans="1:6" x14ac:dyDescent="0.25">
      <c r="A36" s="15">
        <v>42774</v>
      </c>
      <c r="B36" s="16">
        <v>0.203125</v>
      </c>
      <c r="F36" s="17"/>
    </row>
    <row r="37" spans="1:6" x14ac:dyDescent="0.25">
      <c r="A37" s="15">
        <v>42775</v>
      </c>
      <c r="B37" s="16">
        <v>0.20250000000000001</v>
      </c>
      <c r="F37" s="17"/>
    </row>
    <row r="38" spans="1:6" x14ac:dyDescent="0.25">
      <c r="A38" s="15">
        <v>42776</v>
      </c>
      <c r="B38" s="16">
        <v>0.19625000000000001</v>
      </c>
      <c r="F38" s="17"/>
    </row>
    <row r="39" spans="1:6" x14ac:dyDescent="0.25">
      <c r="A39" s="15">
        <v>42779</v>
      </c>
      <c r="B39" s="16">
        <v>0.19687499999999999</v>
      </c>
      <c r="F39" s="17"/>
    </row>
    <row r="40" spans="1:6" x14ac:dyDescent="0.25">
      <c r="A40" s="15">
        <v>42780</v>
      </c>
      <c r="B40" s="16">
        <v>0.203125</v>
      </c>
      <c r="F40" s="17"/>
    </row>
    <row r="41" spans="1:6" x14ac:dyDescent="0.25">
      <c r="A41" s="15">
        <v>42781</v>
      </c>
      <c r="B41" s="16">
        <v>0.203125</v>
      </c>
      <c r="F41" s="17"/>
    </row>
    <row r="42" spans="1:6" x14ac:dyDescent="0.25">
      <c r="A42" s="15">
        <v>42782</v>
      </c>
      <c r="B42" s="16">
        <v>0.20250000000000001</v>
      </c>
      <c r="F42" s="17"/>
    </row>
    <row r="43" spans="1:6" x14ac:dyDescent="0.25">
      <c r="A43" s="15">
        <v>42783</v>
      </c>
      <c r="B43" s="16">
        <v>0.19750000000000001</v>
      </c>
      <c r="F43" s="17"/>
    </row>
    <row r="44" spans="1:6" x14ac:dyDescent="0.25">
      <c r="A44" s="15">
        <v>42786</v>
      </c>
      <c r="B44" s="16">
        <v>0.19750000000000001</v>
      </c>
      <c r="F44" s="17"/>
    </row>
    <row r="45" spans="1:6" x14ac:dyDescent="0.25">
      <c r="A45" s="15">
        <v>42787</v>
      </c>
      <c r="B45" s="16">
        <v>0.2</v>
      </c>
      <c r="F45" s="17"/>
    </row>
    <row r="46" spans="1:6" x14ac:dyDescent="0.25">
      <c r="A46" s="15">
        <v>42788</v>
      </c>
      <c r="B46" s="16">
        <v>0.203125</v>
      </c>
      <c r="F46" s="17"/>
    </row>
    <row r="47" spans="1:6" x14ac:dyDescent="0.25">
      <c r="A47" s="15">
        <v>42789</v>
      </c>
      <c r="B47" s="16">
        <v>0.20250000000000001</v>
      </c>
      <c r="F47" s="17"/>
    </row>
    <row r="48" spans="1:6" x14ac:dyDescent="0.25">
      <c r="A48" s="15">
        <v>42790</v>
      </c>
      <c r="B48" s="16">
        <v>0.201875</v>
      </c>
      <c r="F48" s="17"/>
    </row>
    <row r="49" spans="1:6" x14ac:dyDescent="0.25">
      <c r="A49" s="15">
        <v>42795</v>
      </c>
      <c r="B49" s="16">
        <v>0.20125000000000001</v>
      </c>
      <c r="F49" s="17"/>
    </row>
    <row r="50" spans="1:6" x14ac:dyDescent="0.25">
      <c r="A50" s="15">
        <v>42796</v>
      </c>
      <c r="B50" s="16">
        <v>0.19750000000000001</v>
      </c>
      <c r="F50" s="17"/>
    </row>
    <row r="51" spans="1:6" x14ac:dyDescent="0.25">
      <c r="A51" s="15">
        <v>42797</v>
      </c>
      <c r="B51" s="16">
        <v>0.19687499999999999</v>
      </c>
      <c r="F51" s="17"/>
    </row>
    <row r="52" spans="1:6" x14ac:dyDescent="0.25">
      <c r="A52" s="15">
        <v>42800</v>
      </c>
      <c r="B52" s="16">
        <v>0.19875000000000001</v>
      </c>
      <c r="F52" s="17"/>
    </row>
    <row r="53" spans="1:6" x14ac:dyDescent="0.25">
      <c r="A53" s="15">
        <v>42801</v>
      </c>
      <c r="B53" s="16">
        <v>0.19687499999999999</v>
      </c>
      <c r="F53" s="17"/>
    </row>
    <row r="54" spans="1:6" x14ac:dyDescent="0.25">
      <c r="A54" s="15">
        <v>42802</v>
      </c>
      <c r="B54" s="16">
        <v>0.19562499999999999</v>
      </c>
      <c r="F54" s="17"/>
    </row>
    <row r="55" spans="1:6" x14ac:dyDescent="0.25">
      <c r="A55" s="15">
        <v>42803</v>
      </c>
      <c r="B55" s="16">
        <v>0.19687499999999999</v>
      </c>
      <c r="F55" s="17"/>
    </row>
    <row r="56" spans="1:6" x14ac:dyDescent="0.25">
      <c r="A56" s="15">
        <v>42804</v>
      </c>
      <c r="B56" s="16">
        <v>0.19625000000000001</v>
      </c>
      <c r="F56" s="17"/>
    </row>
    <row r="57" spans="1:6" x14ac:dyDescent="0.25">
      <c r="A57" s="15">
        <v>42807</v>
      </c>
      <c r="B57" s="16">
        <v>0.19375000000000001</v>
      </c>
      <c r="F57" s="17"/>
    </row>
    <row r="58" spans="1:6" x14ac:dyDescent="0.25">
      <c r="A58" s="15">
        <v>42808</v>
      </c>
      <c r="B58" s="16">
        <v>0.19875000000000001</v>
      </c>
      <c r="F58" s="17"/>
    </row>
    <row r="59" spans="1:6" x14ac:dyDescent="0.25">
      <c r="A59" s="15">
        <v>42809</v>
      </c>
      <c r="B59" s="16">
        <v>0.19500000000000001</v>
      </c>
      <c r="F59" s="17"/>
    </row>
    <row r="60" spans="1:6" x14ac:dyDescent="0.25">
      <c r="A60" s="15">
        <v>42810</v>
      </c>
      <c r="B60" s="16">
        <v>0.19625000000000001</v>
      </c>
      <c r="F60" s="17"/>
    </row>
    <row r="61" spans="1:6" x14ac:dyDescent="0.25">
      <c r="A61" s="15">
        <v>42811</v>
      </c>
      <c r="B61" s="16">
        <v>0.19625000000000001</v>
      </c>
      <c r="F61" s="17"/>
    </row>
    <row r="62" spans="1:6" x14ac:dyDescent="0.25">
      <c r="A62" s="15">
        <v>42814</v>
      </c>
      <c r="B62" s="16">
        <v>0.19437499999999999</v>
      </c>
      <c r="F62" s="17"/>
    </row>
    <row r="63" spans="1:6" x14ac:dyDescent="0.25">
      <c r="A63" s="15">
        <v>42815</v>
      </c>
      <c r="B63" s="16">
        <v>0.19375000000000001</v>
      </c>
      <c r="F63" s="17"/>
    </row>
    <row r="64" spans="1:6" x14ac:dyDescent="0.25">
      <c r="A64" s="15">
        <v>42816</v>
      </c>
      <c r="B64" s="16">
        <v>0.1925</v>
      </c>
      <c r="F64" s="17"/>
    </row>
    <row r="65" spans="1:6" x14ac:dyDescent="0.25">
      <c r="A65" s="15">
        <v>42817</v>
      </c>
      <c r="B65" s="16">
        <v>0.19312499999999999</v>
      </c>
      <c r="F65" s="17"/>
    </row>
    <row r="66" spans="1:6" x14ac:dyDescent="0.25">
      <c r="A66" s="15">
        <v>42821</v>
      </c>
      <c r="B66" s="16">
        <v>0.19062499999999999</v>
      </c>
      <c r="F66" s="17"/>
    </row>
    <row r="67" spans="1:6" x14ac:dyDescent="0.25">
      <c r="A67" s="15">
        <v>42822</v>
      </c>
      <c r="B67" s="16">
        <v>0.19312499999999999</v>
      </c>
      <c r="F67" s="17"/>
    </row>
    <row r="68" spans="1:6" x14ac:dyDescent="0.25">
      <c r="A68" s="15">
        <v>42823</v>
      </c>
      <c r="B68" s="16">
        <v>0.19187499999999999</v>
      </c>
      <c r="F68" s="17"/>
    </row>
    <row r="69" spans="1:6" x14ac:dyDescent="0.25">
      <c r="A69" s="15">
        <v>42824</v>
      </c>
      <c r="B69" s="16">
        <v>0.19</v>
      </c>
      <c r="F69" s="17"/>
    </row>
    <row r="70" spans="1:6" x14ac:dyDescent="0.25">
      <c r="A70" s="15">
        <v>42825</v>
      </c>
      <c r="B70" s="16">
        <v>0.19062499999999999</v>
      </c>
      <c r="F70" s="17"/>
    </row>
    <row r="71" spans="1:6" x14ac:dyDescent="0.25">
      <c r="A71" s="15">
        <v>42828</v>
      </c>
      <c r="B71" s="16">
        <v>0.18687500000000001</v>
      </c>
      <c r="F71" s="17"/>
    </row>
    <row r="72" spans="1:6" x14ac:dyDescent="0.25">
      <c r="A72" s="15">
        <v>42829</v>
      </c>
      <c r="B72" s="16">
        <v>0.19062499999999999</v>
      </c>
      <c r="F72" s="17"/>
    </row>
    <row r="73" spans="1:6" x14ac:dyDescent="0.25">
      <c r="A73" s="15">
        <v>42830</v>
      </c>
      <c r="B73" s="16">
        <v>0.18812499999999999</v>
      </c>
      <c r="F73" s="17"/>
    </row>
    <row r="74" spans="1:6" x14ac:dyDescent="0.25">
      <c r="A74" s="15">
        <v>42831</v>
      </c>
      <c r="B74" s="16">
        <v>0.18937499999999999</v>
      </c>
      <c r="F74" s="17"/>
    </row>
    <row r="75" spans="1:6" x14ac:dyDescent="0.25">
      <c r="A75" s="15">
        <v>42832</v>
      </c>
      <c r="B75" s="16">
        <v>0.1875</v>
      </c>
      <c r="F75" s="17"/>
    </row>
    <row r="76" spans="1:6" x14ac:dyDescent="0.25">
      <c r="A76" s="15">
        <v>42835</v>
      </c>
      <c r="B76" s="16">
        <v>0.19</v>
      </c>
      <c r="F76" s="17"/>
    </row>
    <row r="77" spans="1:6" x14ac:dyDescent="0.25">
      <c r="A77" s="15">
        <v>42836</v>
      </c>
      <c r="B77" s="16">
        <v>0.18937499999999999</v>
      </c>
      <c r="F77" s="17"/>
    </row>
    <row r="78" spans="1:6" x14ac:dyDescent="0.25">
      <c r="A78" s="15">
        <v>42837</v>
      </c>
      <c r="B78" s="16">
        <v>0.18875</v>
      </c>
      <c r="F78" s="17"/>
    </row>
    <row r="79" spans="1:6" x14ac:dyDescent="0.25">
      <c r="A79" s="15">
        <v>42842</v>
      </c>
      <c r="B79" s="16">
        <v>0.19312499999999999</v>
      </c>
      <c r="F79" s="17"/>
    </row>
    <row r="80" spans="1:6" x14ac:dyDescent="0.25">
      <c r="A80" s="15">
        <v>42843</v>
      </c>
      <c r="B80" s="16">
        <v>0.19500000000000001</v>
      </c>
      <c r="F80" s="17"/>
    </row>
    <row r="81" spans="1:6" x14ac:dyDescent="0.25">
      <c r="A81" s="15">
        <v>42844</v>
      </c>
      <c r="B81" s="16">
        <v>0.19437499999999999</v>
      </c>
      <c r="F81" s="17"/>
    </row>
    <row r="82" spans="1:6" x14ac:dyDescent="0.25">
      <c r="A82" s="15">
        <v>42845</v>
      </c>
      <c r="B82" s="16">
        <v>0.19312499999999999</v>
      </c>
      <c r="F82" s="17"/>
    </row>
    <row r="83" spans="1:6" x14ac:dyDescent="0.25">
      <c r="A83" s="15">
        <v>42846</v>
      </c>
      <c r="B83" s="16">
        <v>0.19437499999999999</v>
      </c>
      <c r="F83" s="17"/>
    </row>
    <row r="84" spans="1:6" x14ac:dyDescent="0.25">
      <c r="A84" s="15">
        <v>42849</v>
      </c>
      <c r="B84" s="16">
        <v>0.19500000000000001</v>
      </c>
      <c r="F84" s="17"/>
    </row>
    <row r="85" spans="1:6" x14ac:dyDescent="0.25">
      <c r="A85" s="15">
        <v>42850</v>
      </c>
      <c r="B85" s="16">
        <v>0.19687499999999999</v>
      </c>
      <c r="F85" s="17"/>
    </row>
    <row r="86" spans="1:6" x14ac:dyDescent="0.25">
      <c r="A86" s="15">
        <v>42851</v>
      </c>
      <c r="B86" s="16">
        <v>0.19500000000000001</v>
      </c>
      <c r="F86" s="17"/>
    </row>
    <row r="87" spans="1:6" x14ac:dyDescent="0.25">
      <c r="A87" s="15">
        <v>42852</v>
      </c>
      <c r="B87" s="16">
        <v>0.19687499999999999</v>
      </c>
      <c r="F87" s="17"/>
    </row>
    <row r="88" spans="1:6" x14ac:dyDescent="0.25">
      <c r="A88" s="15">
        <v>42853</v>
      </c>
      <c r="B88" s="16">
        <v>0.2</v>
      </c>
      <c r="F88" s="17"/>
    </row>
    <row r="89" spans="1:6" x14ac:dyDescent="0.25">
      <c r="A89" s="15">
        <v>42857</v>
      </c>
      <c r="B89" s="16">
        <v>0.19312499999999999</v>
      </c>
      <c r="F89" s="17"/>
    </row>
    <row r="90" spans="1:6" x14ac:dyDescent="0.25">
      <c r="A90" s="15">
        <v>42858</v>
      </c>
      <c r="B90" s="16">
        <v>0.19562499999999999</v>
      </c>
      <c r="F90" s="17"/>
    </row>
    <row r="91" spans="1:6" x14ac:dyDescent="0.25">
      <c r="A91" s="15">
        <v>42859</v>
      </c>
      <c r="B91" s="16">
        <v>0.19687499999999999</v>
      </c>
      <c r="F91" s="17"/>
    </row>
    <row r="92" spans="1:6" x14ac:dyDescent="0.25">
      <c r="A92" s="15">
        <v>42860</v>
      </c>
      <c r="B92" s="16">
        <v>0.19437499999999999</v>
      </c>
      <c r="F92" s="17"/>
    </row>
    <row r="93" spans="1:6" x14ac:dyDescent="0.25">
      <c r="A93" s="15">
        <v>42863</v>
      </c>
      <c r="B93" s="16">
        <v>0.19500000000000001</v>
      </c>
      <c r="F93" s="17"/>
    </row>
    <row r="94" spans="1:6" x14ac:dyDescent="0.25">
      <c r="A94" s="15">
        <v>42864</v>
      </c>
      <c r="B94" s="16">
        <v>0.19625000000000001</v>
      </c>
      <c r="F94" s="17"/>
    </row>
    <row r="95" spans="1:6" x14ac:dyDescent="0.25">
      <c r="A95" s="15">
        <v>42865</v>
      </c>
      <c r="B95" s="16">
        <v>0.19687499999999999</v>
      </c>
      <c r="F95" s="17"/>
    </row>
    <row r="96" spans="1:6" x14ac:dyDescent="0.25">
      <c r="A96" s="15">
        <v>42866</v>
      </c>
      <c r="B96" s="16">
        <v>0.1925</v>
      </c>
      <c r="F96" s="17"/>
    </row>
    <row r="97" spans="1:6" x14ac:dyDescent="0.25">
      <c r="A97" s="15">
        <v>42867</v>
      </c>
      <c r="B97" s="16">
        <v>0.19500000000000001</v>
      </c>
      <c r="F97" s="17"/>
    </row>
    <row r="98" spans="1:6" x14ac:dyDescent="0.25">
      <c r="A98" s="15">
        <v>42870</v>
      </c>
      <c r="B98" s="16">
        <v>0.19687499999999999</v>
      </c>
      <c r="F98" s="17"/>
    </row>
    <row r="99" spans="1:6" x14ac:dyDescent="0.25">
      <c r="A99" s="15">
        <v>42871</v>
      </c>
      <c r="B99" s="16">
        <v>0.19875000000000001</v>
      </c>
      <c r="F99" s="17"/>
    </row>
    <row r="100" spans="1:6" x14ac:dyDescent="0.25">
      <c r="A100" s="15">
        <v>42872</v>
      </c>
      <c r="B100" s="16">
        <v>0.19562499999999999</v>
      </c>
      <c r="F100" s="17"/>
    </row>
    <row r="101" spans="1:6" x14ac:dyDescent="0.25">
      <c r="A101" s="15">
        <v>42873</v>
      </c>
      <c r="B101" s="16">
        <v>0.19875000000000001</v>
      </c>
      <c r="F101" s="17"/>
    </row>
    <row r="102" spans="1:6" x14ac:dyDescent="0.25">
      <c r="A102" s="15">
        <v>42874</v>
      </c>
      <c r="B102" s="16">
        <v>0.19562499999999999</v>
      </c>
      <c r="F102" s="17"/>
    </row>
    <row r="103" spans="1:6" x14ac:dyDescent="0.25">
      <c r="A103" s="15">
        <v>42877</v>
      </c>
      <c r="B103" s="16">
        <v>0.19562499999999999</v>
      </c>
      <c r="F103" s="17"/>
    </row>
    <row r="104" spans="1:6" x14ac:dyDescent="0.25">
      <c r="A104" s="15">
        <v>42878</v>
      </c>
      <c r="B104" s="16">
        <v>0.198125</v>
      </c>
      <c r="F104" s="17"/>
    </row>
    <row r="105" spans="1:6" x14ac:dyDescent="0.25">
      <c r="A105" s="15">
        <v>42879</v>
      </c>
      <c r="B105" s="16">
        <v>0.19500000000000001</v>
      </c>
      <c r="F105" s="17"/>
    </row>
    <row r="106" spans="1:6" x14ac:dyDescent="0.25">
      <c r="A106" s="15">
        <v>42881</v>
      </c>
      <c r="B106" s="16">
        <v>0.19437499999999999</v>
      </c>
      <c r="F106" s="17"/>
    </row>
    <row r="107" spans="1:6" x14ac:dyDescent="0.25">
      <c r="A107" s="15">
        <v>42884</v>
      </c>
      <c r="B107" s="16">
        <v>0.199375</v>
      </c>
      <c r="F107" s="17"/>
    </row>
    <row r="108" spans="1:6" x14ac:dyDescent="0.25">
      <c r="A108" s="15">
        <v>42885</v>
      </c>
      <c r="B108" s="16">
        <v>0.19875000000000001</v>
      </c>
      <c r="F108" s="17"/>
    </row>
    <row r="109" spans="1:6" x14ac:dyDescent="0.25">
      <c r="A109" s="15">
        <v>42886</v>
      </c>
      <c r="B109" s="16">
        <v>0.200625</v>
      </c>
      <c r="F109" s="17"/>
    </row>
    <row r="110" spans="1:6" x14ac:dyDescent="0.25">
      <c r="A110" s="15">
        <v>42887</v>
      </c>
      <c r="B110" s="16">
        <v>0.19437499999999999</v>
      </c>
      <c r="F110" s="17"/>
    </row>
    <row r="111" spans="1:6" x14ac:dyDescent="0.25">
      <c r="A111" s="15">
        <v>42888</v>
      </c>
      <c r="B111" s="16">
        <v>0.19562499999999999</v>
      </c>
      <c r="F111" s="17"/>
    </row>
    <row r="112" spans="1:6" x14ac:dyDescent="0.25">
      <c r="A112" s="15">
        <v>42891</v>
      </c>
      <c r="B112" s="16">
        <v>0.19625000000000001</v>
      </c>
      <c r="F112" s="17"/>
    </row>
    <row r="113" spans="1:6" x14ac:dyDescent="0.25">
      <c r="A113" s="15">
        <v>42892</v>
      </c>
      <c r="B113" s="16">
        <v>0.19750000000000001</v>
      </c>
      <c r="F113" s="17"/>
    </row>
    <row r="114" spans="1:6" x14ac:dyDescent="0.25">
      <c r="A114" s="15">
        <v>42893</v>
      </c>
      <c r="B114" s="16">
        <v>0.19625000000000001</v>
      </c>
      <c r="F114" s="17"/>
    </row>
    <row r="115" spans="1:6" x14ac:dyDescent="0.25">
      <c r="A115" s="15">
        <v>42894</v>
      </c>
      <c r="B115" s="16">
        <v>0.198125</v>
      </c>
      <c r="F115" s="17"/>
    </row>
    <row r="116" spans="1:6" x14ac:dyDescent="0.25">
      <c r="A116" s="15">
        <v>42895</v>
      </c>
      <c r="B116" s="16">
        <v>0.198125</v>
      </c>
      <c r="F116" s="17"/>
    </row>
    <row r="117" spans="1:6" x14ac:dyDescent="0.25">
      <c r="A117" s="15">
        <v>42898</v>
      </c>
      <c r="B117" s="16">
        <v>0.19562499999999999</v>
      </c>
      <c r="F117" s="17"/>
    </row>
    <row r="118" spans="1:6" x14ac:dyDescent="0.25">
      <c r="A118" s="15">
        <v>42899</v>
      </c>
      <c r="B118" s="16">
        <v>0.198125</v>
      </c>
      <c r="F118" s="17"/>
    </row>
    <row r="119" spans="1:6" x14ac:dyDescent="0.25">
      <c r="A119" s="15">
        <v>42900</v>
      </c>
      <c r="B119" s="16">
        <v>0.199375</v>
      </c>
      <c r="F119" s="17"/>
    </row>
    <row r="120" spans="1:6" x14ac:dyDescent="0.25">
      <c r="A120" s="15">
        <v>42901</v>
      </c>
      <c r="B120" s="16">
        <v>0.19750000000000001</v>
      </c>
      <c r="F120" s="17"/>
    </row>
    <row r="121" spans="1:6" x14ac:dyDescent="0.25">
      <c r="A121" s="15">
        <v>42902</v>
      </c>
      <c r="B121" s="16">
        <v>0.19750000000000001</v>
      </c>
      <c r="F121" s="17"/>
    </row>
    <row r="122" spans="1:6" x14ac:dyDescent="0.25">
      <c r="A122" s="15">
        <v>42905</v>
      </c>
      <c r="B122" s="16">
        <v>0.19625000000000001</v>
      </c>
      <c r="F122" s="17"/>
    </row>
    <row r="123" spans="1:6" x14ac:dyDescent="0.25">
      <c r="A123" s="15">
        <v>42907</v>
      </c>
      <c r="B123" s="16">
        <v>0.19750000000000001</v>
      </c>
      <c r="F123" s="17"/>
    </row>
    <row r="124" spans="1:6" x14ac:dyDescent="0.25">
      <c r="A124" s="15">
        <v>42908</v>
      </c>
      <c r="B124" s="16">
        <v>0.198125</v>
      </c>
      <c r="F124" s="17"/>
    </row>
    <row r="125" spans="1:6" x14ac:dyDescent="0.25">
      <c r="A125" s="15">
        <v>42909</v>
      </c>
      <c r="B125" s="16">
        <v>0.200625</v>
      </c>
      <c r="F125" s="17"/>
    </row>
    <row r="126" spans="1:6" x14ac:dyDescent="0.25">
      <c r="A126" s="15">
        <v>42912</v>
      </c>
      <c r="B126" s="16">
        <v>0.19875000000000001</v>
      </c>
      <c r="F126" s="17"/>
    </row>
    <row r="127" spans="1:6" x14ac:dyDescent="0.25">
      <c r="A127" s="15">
        <v>42913</v>
      </c>
      <c r="B127" s="16">
        <v>0.20125000000000001</v>
      </c>
      <c r="F127" s="17"/>
    </row>
    <row r="128" spans="1:6" x14ac:dyDescent="0.25">
      <c r="A128" s="15">
        <v>42914</v>
      </c>
      <c r="B128" s="16">
        <v>0.199375</v>
      </c>
      <c r="F128" s="17"/>
    </row>
    <row r="129" spans="1:6" x14ac:dyDescent="0.25">
      <c r="A129" s="15">
        <v>42915</v>
      </c>
      <c r="B129" s="16">
        <v>0.20250000000000001</v>
      </c>
      <c r="F129" s="17"/>
    </row>
    <row r="130" spans="1:6" x14ac:dyDescent="0.25">
      <c r="A130" s="15">
        <v>42916</v>
      </c>
      <c r="B130" s="16">
        <v>0.20125000000000001</v>
      </c>
      <c r="F130" s="17"/>
    </row>
    <row r="131" spans="1:6" x14ac:dyDescent="0.25">
      <c r="A131" s="15">
        <v>42919</v>
      </c>
      <c r="B131" s="16">
        <v>0.19687499999999999</v>
      </c>
      <c r="F131" s="17"/>
    </row>
    <row r="132" spans="1:6" x14ac:dyDescent="0.25">
      <c r="A132" s="15">
        <v>42920</v>
      </c>
      <c r="B132" s="16">
        <v>0.201875</v>
      </c>
      <c r="F132" s="17"/>
    </row>
    <row r="133" spans="1:6" x14ac:dyDescent="0.25">
      <c r="A133" s="15">
        <v>42921</v>
      </c>
      <c r="B133" s="16">
        <v>0.19875000000000001</v>
      </c>
      <c r="F133" s="17"/>
    </row>
    <row r="134" spans="1:6" x14ac:dyDescent="0.25">
      <c r="A134" s="15">
        <v>42922</v>
      </c>
      <c r="B134" s="16">
        <v>0.200625</v>
      </c>
      <c r="F134" s="17"/>
    </row>
    <row r="135" spans="1:6" x14ac:dyDescent="0.25">
      <c r="A135" s="15">
        <v>42923</v>
      </c>
      <c r="B135" s="16">
        <v>0.2</v>
      </c>
      <c r="F135" s="17"/>
    </row>
    <row r="136" spans="1:6" x14ac:dyDescent="0.25">
      <c r="A136" s="15">
        <v>42926</v>
      </c>
      <c r="B136" s="16">
        <v>0.20125000000000001</v>
      </c>
      <c r="F136" s="17"/>
    </row>
    <row r="137" spans="1:6" x14ac:dyDescent="0.25">
      <c r="A137" s="15">
        <v>42927</v>
      </c>
      <c r="B137" s="16">
        <v>0.20125000000000001</v>
      </c>
      <c r="F137" s="17"/>
    </row>
    <row r="138" spans="1:6" x14ac:dyDescent="0.25">
      <c r="A138" s="15">
        <v>42928</v>
      </c>
      <c r="B138" s="16">
        <v>0.19750000000000001</v>
      </c>
      <c r="F138" s="17"/>
    </row>
    <row r="139" spans="1:6" x14ac:dyDescent="0.25">
      <c r="A139" s="15">
        <v>42929</v>
      </c>
      <c r="B139" s="16">
        <v>0.2</v>
      </c>
      <c r="F139" s="17"/>
    </row>
    <row r="140" spans="1:6" x14ac:dyDescent="0.25">
      <c r="A140" s="15">
        <v>42930</v>
      </c>
      <c r="B140" s="16">
        <v>0.200625</v>
      </c>
      <c r="F140" s="17"/>
    </row>
    <row r="141" spans="1:6" x14ac:dyDescent="0.25">
      <c r="A141" s="15">
        <v>42933</v>
      </c>
      <c r="B141" s="16">
        <v>0.201875</v>
      </c>
      <c r="F141" s="17"/>
    </row>
    <row r="142" spans="1:6" x14ac:dyDescent="0.25">
      <c r="A142" s="15">
        <v>42934</v>
      </c>
      <c r="B142" s="16">
        <v>0.203125</v>
      </c>
      <c r="F142" s="17"/>
    </row>
    <row r="143" spans="1:6" x14ac:dyDescent="0.25">
      <c r="A143" s="15">
        <v>42935</v>
      </c>
      <c r="B143" s="16">
        <v>0.20125000000000001</v>
      </c>
      <c r="F143" s="17"/>
    </row>
    <row r="144" spans="1:6" x14ac:dyDescent="0.25">
      <c r="A144" s="15">
        <v>42936</v>
      </c>
      <c r="B144" s="16">
        <v>0.200625</v>
      </c>
      <c r="F144" s="17"/>
    </row>
    <row r="145" spans="1:6" x14ac:dyDescent="0.25">
      <c r="A145" s="15">
        <v>42937</v>
      </c>
      <c r="B145" s="16">
        <v>0.201875</v>
      </c>
      <c r="F145" s="17"/>
    </row>
    <row r="146" spans="1:6" x14ac:dyDescent="0.25">
      <c r="A146" s="15">
        <v>42940</v>
      </c>
      <c r="B146" s="16">
        <v>0.20374999999999999</v>
      </c>
      <c r="F146" s="17"/>
    </row>
    <row r="147" spans="1:6" x14ac:dyDescent="0.25">
      <c r="A147" s="15">
        <v>42941</v>
      </c>
      <c r="B147" s="16">
        <v>0.20624999999999999</v>
      </c>
      <c r="F147" s="17"/>
    </row>
    <row r="148" spans="1:6" x14ac:dyDescent="0.25">
      <c r="A148" s="15">
        <v>42942</v>
      </c>
      <c r="B148" s="16">
        <v>0.20125000000000001</v>
      </c>
      <c r="D148" s="18"/>
      <c r="F148" s="17"/>
    </row>
    <row r="149" spans="1:6" x14ac:dyDescent="0.25">
      <c r="A149" s="15">
        <v>42943</v>
      </c>
      <c r="B149" s="16">
        <v>0.20374999999999999</v>
      </c>
      <c r="F149" s="17"/>
    </row>
    <row r="150" spans="1:6" x14ac:dyDescent="0.25">
      <c r="A150" s="15">
        <v>42944</v>
      </c>
      <c r="B150" s="16">
        <v>0.204375</v>
      </c>
      <c r="F150" s="17"/>
    </row>
    <row r="151" spans="1:6" x14ac:dyDescent="0.25">
      <c r="A151" s="15">
        <v>42947</v>
      </c>
      <c r="B151" s="16">
        <v>0.206875</v>
      </c>
      <c r="F151" s="17"/>
    </row>
    <row r="152" spans="1:6" x14ac:dyDescent="0.25">
      <c r="A152" s="15">
        <v>42948</v>
      </c>
      <c r="B152" s="16">
        <v>0.208125</v>
      </c>
      <c r="F152" s="17"/>
    </row>
    <row r="153" spans="1:6" x14ac:dyDescent="0.25">
      <c r="A153" s="15">
        <v>42949</v>
      </c>
      <c r="B153" s="16">
        <v>0.20125000000000001</v>
      </c>
      <c r="F153" s="17"/>
    </row>
    <row r="154" spans="1:6" x14ac:dyDescent="0.25">
      <c r="A154" s="15">
        <v>42950</v>
      </c>
      <c r="B154" s="16">
        <v>0.206875</v>
      </c>
      <c r="F154" s="17"/>
    </row>
    <row r="155" spans="1:6" x14ac:dyDescent="0.25">
      <c r="A155" s="15">
        <v>42951</v>
      </c>
      <c r="B155" s="16">
        <v>0.20374999999999999</v>
      </c>
      <c r="F155" s="17"/>
    </row>
    <row r="156" spans="1:6" x14ac:dyDescent="0.25">
      <c r="A156" s="15">
        <v>42954</v>
      </c>
      <c r="B156" s="16">
        <v>0.20250000000000001</v>
      </c>
      <c r="F156" s="17"/>
    </row>
    <row r="157" spans="1:6" x14ac:dyDescent="0.25">
      <c r="A157" s="15">
        <v>42955</v>
      </c>
      <c r="B157" s="16">
        <v>0.21187500000000001</v>
      </c>
      <c r="F157" s="17"/>
    </row>
    <row r="158" spans="1:6" x14ac:dyDescent="0.25">
      <c r="A158" s="15">
        <v>42956</v>
      </c>
      <c r="B158" s="16">
        <v>0.20874999999999999</v>
      </c>
      <c r="F158" s="17"/>
    </row>
    <row r="159" spans="1:6" x14ac:dyDescent="0.25">
      <c r="A159" s="15">
        <v>42957</v>
      </c>
      <c r="B159" s="16">
        <v>0.21</v>
      </c>
      <c r="F159" s="17"/>
    </row>
    <row r="160" spans="1:6" x14ac:dyDescent="0.25">
      <c r="A160" s="15">
        <v>42958</v>
      </c>
      <c r="B160" s="16">
        <v>0.20374999999999999</v>
      </c>
      <c r="F160" s="17"/>
    </row>
    <row r="161" spans="1:6" x14ac:dyDescent="0.25">
      <c r="A161" s="15">
        <v>42961</v>
      </c>
      <c r="B161" s="16">
        <v>0.208125</v>
      </c>
      <c r="F161" s="17"/>
    </row>
    <row r="162" spans="1:6" x14ac:dyDescent="0.25">
      <c r="A162" s="15">
        <v>42962</v>
      </c>
      <c r="B162" s="16">
        <v>0.206875</v>
      </c>
      <c r="F162" s="17"/>
    </row>
    <row r="163" spans="1:6" x14ac:dyDescent="0.25">
      <c r="A163" s="15">
        <v>42963</v>
      </c>
      <c r="B163" s="16">
        <v>0.20937500000000001</v>
      </c>
      <c r="F163" s="17"/>
    </row>
    <row r="164" spans="1:6" x14ac:dyDescent="0.25">
      <c r="A164" s="15">
        <v>42964</v>
      </c>
      <c r="B164" s="16">
        <v>0.21062500000000001</v>
      </c>
      <c r="F164" s="17"/>
    </row>
    <row r="165" spans="1:6" x14ac:dyDescent="0.25">
      <c r="A165" s="15">
        <v>42965</v>
      </c>
      <c r="B165" s="16">
        <v>0.20874999999999999</v>
      </c>
      <c r="F165" s="17"/>
    </row>
    <row r="166" spans="1:6" x14ac:dyDescent="0.25">
      <c r="A166" s="15">
        <v>42969</v>
      </c>
      <c r="B166" s="16">
        <v>0.20874999999999999</v>
      </c>
      <c r="F166" s="17"/>
    </row>
    <row r="167" spans="1:6" x14ac:dyDescent="0.25">
      <c r="A167" s="15">
        <v>42970</v>
      </c>
      <c r="B167" s="16">
        <v>0.208125</v>
      </c>
      <c r="F167" s="17"/>
    </row>
    <row r="168" spans="1:6" x14ac:dyDescent="0.25">
      <c r="A168" s="15">
        <v>42971</v>
      </c>
      <c r="B168" s="16">
        <v>0.20874999999999999</v>
      </c>
      <c r="F168" s="17"/>
    </row>
    <row r="169" spans="1:6" x14ac:dyDescent="0.25">
      <c r="A169" s="15">
        <v>42972</v>
      </c>
      <c r="B169" s="16">
        <v>0.20749999999999999</v>
      </c>
      <c r="F169" s="17"/>
    </row>
    <row r="170" spans="1:6" x14ac:dyDescent="0.25">
      <c r="A170" s="15">
        <v>42975</v>
      </c>
      <c r="B170" s="16">
        <v>0.208125</v>
      </c>
      <c r="F170" s="17"/>
    </row>
    <row r="171" spans="1:6" x14ac:dyDescent="0.25">
      <c r="A171" s="15">
        <v>42976</v>
      </c>
      <c r="B171" s="16">
        <v>0.21187500000000001</v>
      </c>
      <c r="F171" s="17"/>
    </row>
    <row r="172" spans="1:6" x14ac:dyDescent="0.25">
      <c r="A172" s="15">
        <v>42977</v>
      </c>
      <c r="B172" s="16">
        <v>0.21187500000000001</v>
      </c>
      <c r="F172" s="17"/>
    </row>
    <row r="173" spans="1:6" x14ac:dyDescent="0.25">
      <c r="A173" s="15">
        <v>42978</v>
      </c>
      <c r="B173" s="16">
        <v>0.21187500000000001</v>
      </c>
      <c r="F173" s="17"/>
    </row>
    <row r="174" spans="1:6" x14ac:dyDescent="0.25">
      <c r="A174" s="15">
        <v>42979</v>
      </c>
      <c r="B174" s="16">
        <v>0.20874999999999999</v>
      </c>
      <c r="F174" s="17"/>
    </row>
    <row r="175" spans="1:6" x14ac:dyDescent="0.25">
      <c r="A175" s="15">
        <v>42982</v>
      </c>
      <c r="B175" s="16">
        <v>0.20749999999999999</v>
      </c>
      <c r="F175" s="17"/>
    </row>
    <row r="176" spans="1:6" x14ac:dyDescent="0.25">
      <c r="A176" s="15">
        <v>42983</v>
      </c>
      <c r="B176" s="16">
        <v>0.21249999999999999</v>
      </c>
      <c r="F176" s="17"/>
    </row>
    <row r="177" spans="1:6" x14ac:dyDescent="0.25">
      <c r="A177" s="15">
        <v>42984</v>
      </c>
      <c r="B177" s="16">
        <v>0.21</v>
      </c>
      <c r="F177" s="17"/>
    </row>
    <row r="178" spans="1:6" x14ac:dyDescent="0.25">
      <c r="A178" s="15">
        <v>42985</v>
      </c>
      <c r="B178" s="16">
        <v>0.21249999999999999</v>
      </c>
      <c r="F178" s="17"/>
    </row>
    <row r="179" spans="1:6" x14ac:dyDescent="0.25">
      <c r="A179" s="15">
        <v>42986</v>
      </c>
      <c r="B179" s="16">
        <v>0.21249999999999999</v>
      </c>
      <c r="F179" s="17"/>
    </row>
    <row r="180" spans="1:6" x14ac:dyDescent="0.25">
      <c r="A180" s="15">
        <v>42989</v>
      </c>
      <c r="B180" s="16">
        <v>0.21124999999999999</v>
      </c>
      <c r="F180" s="17"/>
    </row>
    <row r="181" spans="1:6" x14ac:dyDescent="0.25">
      <c r="A181" s="15">
        <v>42990</v>
      </c>
      <c r="B181" s="16">
        <v>0.21312500000000001</v>
      </c>
      <c r="F181" s="17"/>
    </row>
    <row r="182" spans="1:6" x14ac:dyDescent="0.25">
      <c r="A182" s="15">
        <v>42991</v>
      </c>
      <c r="B182" s="16">
        <v>0.21249999999999999</v>
      </c>
      <c r="F182" s="17"/>
    </row>
    <row r="183" spans="1:6" x14ac:dyDescent="0.25">
      <c r="A183" s="15">
        <v>42992</v>
      </c>
      <c r="B183" s="16">
        <v>0.21375</v>
      </c>
      <c r="F183" s="17"/>
    </row>
    <row r="184" spans="1:6" x14ac:dyDescent="0.25">
      <c r="A184" s="15">
        <v>42993</v>
      </c>
      <c r="B184" s="16">
        <v>0.21375</v>
      </c>
      <c r="F184" s="17"/>
    </row>
    <row r="185" spans="1:6" x14ac:dyDescent="0.25">
      <c r="A185" s="15">
        <v>42996</v>
      </c>
      <c r="B185" s="16">
        <v>0.21312500000000001</v>
      </c>
      <c r="F185" s="17"/>
    </row>
    <row r="186" spans="1:6" x14ac:dyDescent="0.25">
      <c r="A186" s="15">
        <v>42997</v>
      </c>
      <c r="B186" s="16">
        <v>0.21625</v>
      </c>
      <c r="F186" s="17"/>
    </row>
    <row r="187" spans="1:6" x14ac:dyDescent="0.25">
      <c r="A187" s="15">
        <v>42998</v>
      </c>
      <c r="B187" s="16">
        <v>0.21625</v>
      </c>
      <c r="F187" s="17"/>
    </row>
    <row r="188" spans="1:6" x14ac:dyDescent="0.25">
      <c r="A188" s="15">
        <v>42999</v>
      </c>
      <c r="B188" s="16">
        <v>0.21562500000000001</v>
      </c>
      <c r="F188" s="17"/>
    </row>
    <row r="189" spans="1:6" x14ac:dyDescent="0.25">
      <c r="A189" s="15">
        <v>43000</v>
      </c>
      <c r="B189" s="16">
        <v>0.21437500000000001</v>
      </c>
      <c r="F189" s="17"/>
    </row>
    <row r="190" spans="1:6" x14ac:dyDescent="0.25">
      <c r="A190" s="15">
        <v>43003</v>
      </c>
      <c r="B190" s="16">
        <v>0.21187500000000001</v>
      </c>
      <c r="F190" s="17"/>
    </row>
    <row r="191" spans="1:6" x14ac:dyDescent="0.25">
      <c r="A191" s="15">
        <v>43004</v>
      </c>
      <c r="B191" s="16">
        <v>0.215</v>
      </c>
      <c r="F191" s="17"/>
    </row>
    <row r="192" spans="1:6" x14ac:dyDescent="0.25">
      <c r="A192" s="15">
        <v>43005</v>
      </c>
      <c r="B192" s="16">
        <v>0.21562500000000001</v>
      </c>
      <c r="F192" s="17"/>
    </row>
    <row r="193" spans="1:6" x14ac:dyDescent="0.25">
      <c r="A193" s="15">
        <v>43006</v>
      </c>
      <c r="B193" s="16">
        <v>0.215</v>
      </c>
      <c r="F193" s="17"/>
    </row>
    <row r="194" spans="1:6" x14ac:dyDescent="0.25">
      <c r="A194" s="15">
        <v>43007</v>
      </c>
      <c r="B194" s="16">
        <v>0.2175</v>
      </c>
      <c r="F194" s="17"/>
    </row>
    <row r="195" spans="1:6" x14ac:dyDescent="0.25">
      <c r="A195" s="15">
        <v>43010</v>
      </c>
      <c r="B195" s="16">
        <v>0.21124999999999999</v>
      </c>
      <c r="F195" s="17"/>
    </row>
    <row r="196" spans="1:6" x14ac:dyDescent="0.25">
      <c r="A196" s="15">
        <v>43011</v>
      </c>
      <c r="B196" s="16">
        <v>0.21875</v>
      </c>
      <c r="F196" s="17"/>
    </row>
    <row r="197" spans="1:6" x14ac:dyDescent="0.25">
      <c r="A197" s="15">
        <v>43012</v>
      </c>
      <c r="B197" s="16">
        <v>0.21249999999999999</v>
      </c>
      <c r="F197" s="17"/>
    </row>
    <row r="198" spans="1:6" x14ac:dyDescent="0.25">
      <c r="A198" s="15">
        <v>43013</v>
      </c>
      <c r="B198" s="16">
        <v>0.21187500000000001</v>
      </c>
      <c r="F198" s="17"/>
    </row>
    <row r="199" spans="1:6" x14ac:dyDescent="0.25">
      <c r="A199" s="15">
        <v>43014</v>
      </c>
      <c r="B199" s="16">
        <v>0.21187500000000001</v>
      </c>
      <c r="F199" s="17"/>
    </row>
    <row r="200" spans="1:6" x14ac:dyDescent="0.25">
      <c r="A200" s="15">
        <v>43017</v>
      </c>
      <c r="B200" s="16">
        <v>0.21249999999999999</v>
      </c>
      <c r="F200" s="17"/>
    </row>
    <row r="201" spans="1:6" x14ac:dyDescent="0.25">
      <c r="A201" s="15">
        <v>43018</v>
      </c>
      <c r="B201" s="16">
        <v>0.22</v>
      </c>
      <c r="F201" s="17"/>
    </row>
    <row r="202" spans="1:6" x14ac:dyDescent="0.25">
      <c r="A202" s="15">
        <v>43019</v>
      </c>
      <c r="B202" s="16">
        <v>0.21249999999999999</v>
      </c>
      <c r="F202" s="17"/>
    </row>
    <row r="203" spans="1:6" x14ac:dyDescent="0.25">
      <c r="A203" s="15">
        <v>43020</v>
      </c>
      <c r="B203" s="16">
        <v>0.21625</v>
      </c>
      <c r="F203" s="17"/>
    </row>
    <row r="204" spans="1:6" x14ac:dyDescent="0.25">
      <c r="A204" s="15">
        <v>43021</v>
      </c>
      <c r="B204" s="16">
        <v>0.21437500000000001</v>
      </c>
      <c r="F204" s="17"/>
    </row>
    <row r="205" spans="1:6" x14ac:dyDescent="0.25">
      <c r="A205" s="15">
        <v>43025</v>
      </c>
      <c r="B205" s="16">
        <v>0.21625</v>
      </c>
      <c r="F205" s="17"/>
    </row>
    <row r="206" spans="1:6" x14ac:dyDescent="0.25">
      <c r="A206" s="15">
        <v>43026</v>
      </c>
      <c r="B206" s="16">
        <v>0.21812500000000001</v>
      </c>
      <c r="F206" s="17"/>
    </row>
    <row r="207" spans="1:6" x14ac:dyDescent="0.25">
      <c r="A207" s="15">
        <v>43027</v>
      </c>
      <c r="B207" s="16">
        <v>0.21625</v>
      </c>
      <c r="F207" s="17"/>
    </row>
    <row r="208" spans="1:6" x14ac:dyDescent="0.25">
      <c r="A208" s="15">
        <v>43028</v>
      </c>
      <c r="B208" s="16">
        <v>0.21937499999999999</v>
      </c>
      <c r="F208" s="17"/>
    </row>
    <row r="209" spans="1:6" x14ac:dyDescent="0.25">
      <c r="A209" s="15">
        <v>43031</v>
      </c>
      <c r="B209" s="16">
        <v>0.21625</v>
      </c>
      <c r="F209" s="17"/>
    </row>
    <row r="210" spans="1:6" x14ac:dyDescent="0.25">
      <c r="A210" s="15">
        <v>43032</v>
      </c>
      <c r="B210" s="16">
        <v>0.22125</v>
      </c>
      <c r="F210" s="17"/>
    </row>
    <row r="211" spans="1:6" x14ac:dyDescent="0.25">
      <c r="A211" s="15">
        <v>43033</v>
      </c>
      <c r="B211" s="16">
        <v>0.21562500000000001</v>
      </c>
      <c r="F211" s="17"/>
    </row>
    <row r="212" spans="1:6" x14ac:dyDescent="0.25">
      <c r="A212" s="15">
        <v>43034</v>
      </c>
      <c r="B212" s="16">
        <v>0.2175</v>
      </c>
      <c r="F212" s="17"/>
    </row>
    <row r="213" spans="1:6" x14ac:dyDescent="0.25">
      <c r="A213" s="15">
        <v>43035</v>
      </c>
      <c r="B213" s="16">
        <v>0.22062499999999999</v>
      </c>
      <c r="F213" s="17"/>
    </row>
    <row r="214" spans="1:6" x14ac:dyDescent="0.25">
      <c r="A214" s="15">
        <v>43038</v>
      </c>
      <c r="B214" s="16">
        <v>0.22</v>
      </c>
      <c r="F214" s="17"/>
    </row>
    <row r="215" spans="1:6" x14ac:dyDescent="0.25">
      <c r="A215" s="15">
        <v>43039</v>
      </c>
      <c r="B215" s="16">
        <v>0.2225</v>
      </c>
      <c r="F215" s="17"/>
    </row>
    <row r="216" spans="1:6" x14ac:dyDescent="0.25">
      <c r="A216" s="15">
        <v>43040</v>
      </c>
      <c r="B216" s="16">
        <v>0.2175</v>
      </c>
      <c r="F216" s="17"/>
    </row>
    <row r="217" spans="1:6" x14ac:dyDescent="0.25">
      <c r="A217" s="15">
        <v>43041</v>
      </c>
      <c r="B217" s="16">
        <v>0.22625000000000001</v>
      </c>
      <c r="F217" s="17"/>
    </row>
    <row r="218" spans="1:6" x14ac:dyDescent="0.25">
      <c r="A218" s="15">
        <v>43042</v>
      </c>
      <c r="B218" s="16">
        <v>0.22062499999999999</v>
      </c>
      <c r="F218" s="17"/>
    </row>
    <row r="219" spans="1:6" x14ac:dyDescent="0.25">
      <c r="A219" s="15">
        <v>43046</v>
      </c>
      <c r="B219" s="16">
        <v>0.22</v>
      </c>
      <c r="F219" s="17"/>
    </row>
    <row r="220" spans="1:6" x14ac:dyDescent="0.25">
      <c r="A220" s="15">
        <v>43047</v>
      </c>
      <c r="B220" s="16">
        <v>0.22375</v>
      </c>
      <c r="F220" s="17"/>
    </row>
    <row r="221" spans="1:6" x14ac:dyDescent="0.25">
      <c r="A221" s="15">
        <v>43048</v>
      </c>
      <c r="B221" s="16">
        <v>0.22437499999999999</v>
      </c>
      <c r="F221" s="17"/>
    </row>
    <row r="222" spans="1:6" x14ac:dyDescent="0.25">
      <c r="A222" s="15">
        <v>43049</v>
      </c>
      <c r="B222" s="16">
        <v>0.22187499999999999</v>
      </c>
      <c r="F222" s="17"/>
    </row>
    <row r="223" spans="1:6" x14ac:dyDescent="0.25">
      <c r="A223" s="15">
        <v>43052</v>
      </c>
      <c r="B223" s="16">
        <v>0.22562499999999999</v>
      </c>
      <c r="F223" s="17"/>
    </row>
    <row r="224" spans="1:6" x14ac:dyDescent="0.25">
      <c r="A224" s="15">
        <v>43053</v>
      </c>
      <c r="B224" s="16">
        <v>0.22625000000000001</v>
      </c>
      <c r="F224" s="17"/>
    </row>
    <row r="225" spans="1:6" x14ac:dyDescent="0.25">
      <c r="A225" s="15">
        <v>43054</v>
      </c>
      <c r="B225" s="16">
        <v>0.22812499999999999</v>
      </c>
      <c r="F225" s="17"/>
    </row>
    <row r="226" spans="1:6" x14ac:dyDescent="0.25">
      <c r="A226" s="15">
        <v>43055</v>
      </c>
      <c r="B226" s="16">
        <v>0.22687499999999999</v>
      </c>
      <c r="F226" s="17"/>
    </row>
    <row r="227" spans="1:6" x14ac:dyDescent="0.25">
      <c r="A227" s="15">
        <v>43056</v>
      </c>
      <c r="B227" s="16">
        <v>0.229375</v>
      </c>
      <c r="F227" s="17"/>
    </row>
    <row r="228" spans="1:6" x14ac:dyDescent="0.25">
      <c r="A228" s="15">
        <v>43060</v>
      </c>
      <c r="B228" s="16">
        <v>0.22812499999999999</v>
      </c>
      <c r="F228" s="17"/>
    </row>
    <row r="229" spans="1:6" x14ac:dyDescent="0.25">
      <c r="A229" s="15">
        <v>43061</v>
      </c>
      <c r="B229" s="16">
        <v>0.22875000000000001</v>
      </c>
      <c r="F229" s="17"/>
    </row>
    <row r="230" spans="1:6" x14ac:dyDescent="0.25">
      <c r="A230" s="15">
        <v>43062</v>
      </c>
      <c r="B230" s="16">
        <v>0.229375</v>
      </c>
      <c r="F230" s="17"/>
    </row>
    <row r="231" spans="1:6" x14ac:dyDescent="0.25">
      <c r="A231" s="15">
        <v>43063</v>
      </c>
      <c r="B231" s="16">
        <v>0.22500000000000001</v>
      </c>
      <c r="F231" s="17"/>
    </row>
    <row r="232" spans="1:6" x14ac:dyDescent="0.25">
      <c r="A232" s="15">
        <v>43066</v>
      </c>
      <c r="B232" s="16">
        <v>0.22625000000000001</v>
      </c>
      <c r="F232" s="17"/>
    </row>
    <row r="233" spans="1:6" x14ac:dyDescent="0.25">
      <c r="A233" s="15">
        <v>43067</v>
      </c>
      <c r="B233" s="16">
        <v>0.22812499999999999</v>
      </c>
      <c r="F233" s="17"/>
    </row>
    <row r="234" spans="1:6" x14ac:dyDescent="0.25">
      <c r="A234" s="15">
        <v>43068</v>
      </c>
      <c r="B234" s="16">
        <v>0.229375</v>
      </c>
      <c r="F234" s="17"/>
    </row>
    <row r="235" spans="1:6" x14ac:dyDescent="0.25">
      <c r="A235" s="15">
        <v>43069</v>
      </c>
      <c r="B235" s="16">
        <v>0.233125</v>
      </c>
      <c r="F235" s="17"/>
    </row>
    <row r="236" spans="1:6" x14ac:dyDescent="0.25">
      <c r="A236" s="15">
        <v>43070</v>
      </c>
      <c r="B236" s="16">
        <v>0.22437499999999999</v>
      </c>
      <c r="F236" s="17"/>
    </row>
    <row r="237" spans="1:6" x14ac:dyDescent="0.25">
      <c r="A237" s="15">
        <v>43073</v>
      </c>
      <c r="B237" s="16">
        <v>0.23125000000000001</v>
      </c>
      <c r="F237" s="17"/>
    </row>
    <row r="238" spans="1:6" x14ac:dyDescent="0.25">
      <c r="A238" s="15">
        <v>43074</v>
      </c>
      <c r="B238" s="16">
        <v>0.239375</v>
      </c>
      <c r="F238" s="17"/>
    </row>
    <row r="239" spans="1:6" x14ac:dyDescent="0.25">
      <c r="A239" s="15">
        <v>43075</v>
      </c>
      <c r="B239" s="16">
        <v>0.23375000000000001</v>
      </c>
      <c r="F239" s="17"/>
    </row>
    <row r="240" spans="1:6" x14ac:dyDescent="0.25">
      <c r="A240" s="15">
        <v>43076</v>
      </c>
      <c r="B240" s="16">
        <v>0.22875000000000001</v>
      </c>
      <c r="F240" s="17"/>
    </row>
    <row r="241" spans="1:6" x14ac:dyDescent="0.25">
      <c r="A241" s="15">
        <v>43080</v>
      </c>
      <c r="B241" s="16">
        <v>0.22562499999999999</v>
      </c>
      <c r="F241" s="17"/>
    </row>
    <row r="242" spans="1:6" x14ac:dyDescent="0.25">
      <c r="A242" s="15">
        <v>43081</v>
      </c>
      <c r="B242" s="16">
        <v>0.23250000000000001</v>
      </c>
      <c r="F242" s="17"/>
    </row>
    <row r="243" spans="1:6" x14ac:dyDescent="0.25">
      <c r="A243" s="15">
        <v>43082</v>
      </c>
      <c r="B243" s="16">
        <v>0.23375000000000001</v>
      </c>
      <c r="F243" s="17"/>
    </row>
    <row r="244" spans="1:6" x14ac:dyDescent="0.25">
      <c r="A244" s="15">
        <v>43083</v>
      </c>
      <c r="B244" s="16">
        <v>0.23874999999999999</v>
      </c>
      <c r="F244" s="17"/>
    </row>
    <row r="245" spans="1:6" x14ac:dyDescent="0.25">
      <c r="A245" s="15">
        <v>43084</v>
      </c>
      <c r="B245" s="16">
        <v>0.23375000000000001</v>
      </c>
      <c r="F245" s="17"/>
    </row>
    <row r="246" spans="1:6" x14ac:dyDescent="0.25">
      <c r="A246" s="15">
        <v>43087</v>
      </c>
      <c r="B246" s="16">
        <v>0.23375000000000001</v>
      </c>
      <c r="F246" s="17"/>
    </row>
    <row r="247" spans="1:6" x14ac:dyDescent="0.25">
      <c r="A247" s="15">
        <v>43088</v>
      </c>
      <c r="B247" s="16">
        <v>0.231875</v>
      </c>
      <c r="F247" s="17"/>
    </row>
    <row r="248" spans="1:6" x14ac:dyDescent="0.25">
      <c r="A248" s="15">
        <v>43089</v>
      </c>
      <c r="B248" s="16">
        <v>0.24312500000000001</v>
      </c>
      <c r="F248" s="17"/>
    </row>
    <row r="249" spans="1:6" x14ac:dyDescent="0.25">
      <c r="A249" s="15">
        <v>43090</v>
      </c>
      <c r="B249" s="16">
        <v>0.234375</v>
      </c>
      <c r="F249" s="17"/>
    </row>
    <row r="250" spans="1:6" x14ac:dyDescent="0.25">
      <c r="A250" s="15">
        <v>43091</v>
      </c>
      <c r="B250" s="16">
        <v>0.233125</v>
      </c>
      <c r="F250" s="17"/>
    </row>
    <row r="251" spans="1:6" x14ac:dyDescent="0.25">
      <c r="A251" s="15">
        <v>43095</v>
      </c>
      <c r="B251" s="16">
        <v>0.23</v>
      </c>
      <c r="F251" s="17"/>
    </row>
    <row r="252" spans="1:6" x14ac:dyDescent="0.25">
      <c r="A252" s="15">
        <v>43096</v>
      </c>
      <c r="B252" s="16">
        <v>0.23</v>
      </c>
      <c r="F252" s="17"/>
    </row>
    <row r="253" spans="1:6" x14ac:dyDescent="0.25">
      <c r="A253" s="15">
        <v>43097</v>
      </c>
      <c r="B253" s="16">
        <v>0.23125000000000001</v>
      </c>
      <c r="F253" s="17"/>
    </row>
    <row r="254" spans="1:6" x14ac:dyDescent="0.25">
      <c r="A254" s="15">
        <v>43098</v>
      </c>
      <c r="B254" s="16">
        <v>0.23250000000000001</v>
      </c>
      <c r="F254" s="17"/>
    </row>
    <row r="255" spans="1:6" x14ac:dyDescent="0.25">
      <c r="A255" s="15">
        <v>43102</v>
      </c>
      <c r="B255" s="16">
        <v>0.230625</v>
      </c>
      <c r="F255" s="17"/>
    </row>
    <row r="256" spans="1:6" x14ac:dyDescent="0.25">
      <c r="A256" s="15">
        <v>43103</v>
      </c>
      <c r="B256" s="16">
        <v>0.23250000000000001</v>
      </c>
    </row>
    <row r="257" spans="1:4" x14ac:dyDescent="0.25">
      <c r="A257" s="15">
        <v>43104</v>
      </c>
      <c r="B257" s="16">
        <v>0.23125000000000001</v>
      </c>
    </row>
    <row r="258" spans="1:4" x14ac:dyDescent="0.25">
      <c r="A258" s="15">
        <v>43105</v>
      </c>
      <c r="B258" s="16">
        <v>0.231875</v>
      </c>
    </row>
    <row r="259" spans="1:4" x14ac:dyDescent="0.25">
      <c r="A259" s="15">
        <v>43108</v>
      </c>
      <c r="B259" s="16">
        <v>0.22875000000000001</v>
      </c>
    </row>
    <row r="260" spans="1:4" x14ac:dyDescent="0.25">
      <c r="A260" s="15">
        <v>43109</v>
      </c>
      <c r="B260" s="16">
        <v>0.230625</v>
      </c>
    </row>
    <row r="261" spans="1:4" x14ac:dyDescent="0.25">
      <c r="A261" s="15">
        <v>43110</v>
      </c>
      <c r="B261" s="16">
        <v>0.2225</v>
      </c>
    </row>
    <row r="262" spans="1:4" x14ac:dyDescent="0.25">
      <c r="A262" s="15">
        <v>43111</v>
      </c>
      <c r="B262" s="16">
        <v>0.22812499999999999</v>
      </c>
    </row>
    <row r="263" spans="1:4" x14ac:dyDescent="0.25">
      <c r="A263" s="15">
        <v>43112</v>
      </c>
      <c r="B263" s="16">
        <v>0.229375</v>
      </c>
    </row>
    <row r="264" spans="1:4" x14ac:dyDescent="0.25">
      <c r="A264" s="15">
        <v>43115</v>
      </c>
      <c r="B264" s="16">
        <v>0.23</v>
      </c>
    </row>
    <row r="265" spans="1:4" x14ac:dyDescent="0.25">
      <c r="A265" s="15">
        <v>43116</v>
      </c>
      <c r="B265" s="16">
        <v>0.23125000000000001</v>
      </c>
    </row>
    <row r="266" spans="1:4" x14ac:dyDescent="0.25">
      <c r="A266" s="15">
        <v>43117</v>
      </c>
      <c r="B266" s="16">
        <v>0.229375</v>
      </c>
    </row>
    <row r="267" spans="1:4" x14ac:dyDescent="0.25">
      <c r="A267" s="15">
        <v>43118</v>
      </c>
      <c r="B267" s="16">
        <v>0.23250000000000001</v>
      </c>
    </row>
    <row r="268" spans="1:4" x14ac:dyDescent="0.25">
      <c r="A268" s="15">
        <v>43119</v>
      </c>
      <c r="B268" s="16">
        <v>0.23125000000000001</v>
      </c>
    </row>
    <row r="269" spans="1:4" x14ac:dyDescent="0.25">
      <c r="A269" s="15">
        <v>43122</v>
      </c>
      <c r="B269" s="16">
        <v>0.22875000000000001</v>
      </c>
    </row>
    <row r="270" spans="1:4" x14ac:dyDescent="0.25">
      <c r="A270" s="15">
        <v>43123</v>
      </c>
      <c r="B270" s="16">
        <v>0.229375</v>
      </c>
    </row>
    <row r="271" spans="1:4" x14ac:dyDescent="0.25">
      <c r="A271" s="15">
        <v>43124</v>
      </c>
      <c r="B271" s="16">
        <v>0.229375</v>
      </c>
    </row>
    <row r="272" spans="1:4" x14ac:dyDescent="0.25">
      <c r="A272" s="15">
        <v>43125</v>
      </c>
      <c r="B272" s="16">
        <v>0.22375</v>
      </c>
      <c r="D272" s="18"/>
    </row>
    <row r="273" spans="1:2" x14ac:dyDescent="0.25">
      <c r="A273" s="15">
        <v>43126</v>
      </c>
      <c r="B273" s="16">
        <v>0.22812499999999999</v>
      </c>
    </row>
    <row r="274" spans="1:2" x14ac:dyDescent="0.25">
      <c r="A274" s="15">
        <v>43129</v>
      </c>
      <c r="B274" s="16">
        <v>0.23</v>
      </c>
    </row>
    <row r="275" spans="1:2" x14ac:dyDescent="0.25">
      <c r="A275" s="15">
        <v>43130</v>
      </c>
      <c r="B275" s="16">
        <v>0.23125000000000001</v>
      </c>
    </row>
    <row r="276" spans="1:2" x14ac:dyDescent="0.25">
      <c r="A276" s="15">
        <v>43131</v>
      </c>
      <c r="B276" s="16">
        <v>0.231875</v>
      </c>
    </row>
    <row r="277" spans="1:2" x14ac:dyDescent="0.25">
      <c r="A277" s="15">
        <v>43132</v>
      </c>
      <c r="B277" s="16">
        <v>0.22687499999999999</v>
      </c>
    </row>
    <row r="278" spans="1:2" x14ac:dyDescent="0.25">
      <c r="A278" s="15">
        <v>43133</v>
      </c>
      <c r="B278" s="16">
        <v>0.22812499999999999</v>
      </c>
    </row>
    <row r="279" spans="1:2" x14ac:dyDescent="0.25">
      <c r="A279" s="15">
        <v>43136</v>
      </c>
      <c r="B279" s="16">
        <v>0.22687499999999999</v>
      </c>
    </row>
    <row r="280" spans="1:2" x14ac:dyDescent="0.25">
      <c r="A280" s="15">
        <v>43137</v>
      </c>
      <c r="B280" s="16">
        <v>0.22812499999999999</v>
      </c>
    </row>
    <row r="281" spans="1:2" x14ac:dyDescent="0.25">
      <c r="A281" s="15">
        <v>43138</v>
      </c>
      <c r="B281" s="16">
        <v>0.22562499999999999</v>
      </c>
    </row>
    <row r="282" spans="1:2" x14ac:dyDescent="0.25">
      <c r="A282" s="15">
        <v>43139</v>
      </c>
      <c r="B282" s="16">
        <v>0.23</v>
      </c>
    </row>
    <row r="283" spans="1:2" x14ac:dyDescent="0.25">
      <c r="A283" s="15">
        <v>43140</v>
      </c>
      <c r="B283" s="16">
        <v>0.22125</v>
      </c>
    </row>
    <row r="284" spans="1:2" x14ac:dyDescent="0.25">
      <c r="A284" s="15">
        <v>43145</v>
      </c>
      <c r="B284" s="16">
        <v>0.22750000000000001</v>
      </c>
    </row>
    <row r="285" spans="1:2" x14ac:dyDescent="0.25">
      <c r="A285" s="15">
        <v>43146</v>
      </c>
      <c r="B285" s="16">
        <v>0.22750000000000001</v>
      </c>
    </row>
    <row r="286" spans="1:2" x14ac:dyDescent="0.25">
      <c r="A286" s="15">
        <v>43147</v>
      </c>
      <c r="B286" s="16">
        <v>0.22750000000000001</v>
      </c>
    </row>
    <row r="287" spans="1:2" x14ac:dyDescent="0.25">
      <c r="A287" s="15">
        <v>43150</v>
      </c>
      <c r="B287" s="16">
        <v>0.23250000000000001</v>
      </c>
    </row>
    <row r="288" spans="1:2" x14ac:dyDescent="0.25">
      <c r="A288" s="15">
        <v>43151</v>
      </c>
      <c r="B288" s="16">
        <v>0.231875</v>
      </c>
    </row>
    <row r="289" spans="1:2" x14ac:dyDescent="0.25">
      <c r="A289" s="15">
        <v>43152</v>
      </c>
      <c r="B289" s="16">
        <v>0.22812499999999999</v>
      </c>
    </row>
    <row r="290" spans="1:2" x14ac:dyDescent="0.25">
      <c r="A290" s="15">
        <v>43153</v>
      </c>
      <c r="B290" s="16">
        <v>0.22875000000000001</v>
      </c>
    </row>
    <row r="291" spans="1:2" x14ac:dyDescent="0.25">
      <c r="A291" s="15">
        <v>43154</v>
      </c>
      <c r="B291" s="16">
        <v>0.22812499999999999</v>
      </c>
    </row>
    <row r="292" spans="1:2" x14ac:dyDescent="0.25">
      <c r="A292" s="15">
        <v>43157</v>
      </c>
      <c r="B292" s="16">
        <v>0.22437499999999999</v>
      </c>
    </row>
    <row r="293" spans="1:2" x14ac:dyDescent="0.25">
      <c r="A293" s="15">
        <v>43158</v>
      </c>
      <c r="B293" s="16">
        <v>0.229375</v>
      </c>
    </row>
    <row r="294" spans="1:2" x14ac:dyDescent="0.25">
      <c r="A294" s="15">
        <v>43159</v>
      </c>
      <c r="B294" s="16">
        <v>0.22812499999999999</v>
      </c>
    </row>
    <row r="295" spans="1:2" x14ac:dyDescent="0.25">
      <c r="A295" s="15">
        <v>43160</v>
      </c>
      <c r="B295" s="16">
        <v>0.22875000000000001</v>
      </c>
    </row>
    <row r="296" spans="1:2" x14ac:dyDescent="0.25">
      <c r="A296" s="15">
        <v>43161</v>
      </c>
      <c r="B296" s="16">
        <v>0.229375</v>
      </c>
    </row>
    <row r="297" spans="1:2" x14ac:dyDescent="0.25">
      <c r="A297" s="15">
        <v>43164</v>
      </c>
      <c r="B297" s="16">
        <v>0.22750000000000001</v>
      </c>
    </row>
    <row r="298" spans="1:2" x14ac:dyDescent="0.25">
      <c r="A298" s="15">
        <v>43165</v>
      </c>
      <c r="B298" s="16">
        <v>0.230625</v>
      </c>
    </row>
    <row r="299" spans="1:2" x14ac:dyDescent="0.25">
      <c r="A299" s="15">
        <v>43166</v>
      </c>
      <c r="B299" s="16">
        <v>0.22625000000000001</v>
      </c>
    </row>
    <row r="300" spans="1:2" x14ac:dyDescent="0.25">
      <c r="A300" s="15">
        <v>43167</v>
      </c>
      <c r="B300" s="16">
        <v>0.22812499999999999</v>
      </c>
    </row>
    <row r="301" spans="1:2" x14ac:dyDescent="0.25">
      <c r="A301" s="15">
        <v>43168</v>
      </c>
      <c r="B301" s="16">
        <v>0.22750000000000001</v>
      </c>
    </row>
    <row r="302" spans="1:2" x14ac:dyDescent="0.25">
      <c r="A302" s="15">
        <v>43171</v>
      </c>
      <c r="B302" s="16">
        <v>0.22562499999999999</v>
      </c>
    </row>
    <row r="303" spans="1:2" x14ac:dyDescent="0.25">
      <c r="A303" s="15">
        <v>43172</v>
      </c>
      <c r="B303" s="16">
        <v>0.23</v>
      </c>
    </row>
    <row r="304" spans="1:2" x14ac:dyDescent="0.25">
      <c r="A304" s="15">
        <v>43173</v>
      </c>
      <c r="B304" s="16">
        <v>0.230625</v>
      </c>
    </row>
    <row r="305" spans="1:2" x14ac:dyDescent="0.25">
      <c r="A305" s="15">
        <v>43174</v>
      </c>
      <c r="B305" s="16">
        <v>0.22500000000000001</v>
      </c>
    </row>
    <row r="306" spans="1:2" x14ac:dyDescent="0.25">
      <c r="A306" s="15">
        <v>43175</v>
      </c>
      <c r="B306" s="16">
        <v>0.22750000000000001</v>
      </c>
    </row>
    <row r="307" spans="1:2" x14ac:dyDescent="0.25">
      <c r="A307" s="15">
        <v>43178</v>
      </c>
      <c r="B307" s="16">
        <v>0.22812499999999999</v>
      </c>
    </row>
    <row r="308" spans="1:2" x14ac:dyDescent="0.25">
      <c r="A308" s="15">
        <v>43179</v>
      </c>
      <c r="B308" s="16">
        <v>0.229375</v>
      </c>
    </row>
    <row r="309" spans="1:2" x14ac:dyDescent="0.25">
      <c r="A309" s="15">
        <v>43180</v>
      </c>
      <c r="B309" s="16">
        <v>0.233125</v>
      </c>
    </row>
    <row r="310" spans="1:2" x14ac:dyDescent="0.25">
      <c r="A310" s="15">
        <v>43181</v>
      </c>
      <c r="B310" s="16">
        <v>0.23125000000000001</v>
      </c>
    </row>
    <row r="311" spans="1:2" x14ac:dyDescent="0.25">
      <c r="A311" s="15">
        <v>43182</v>
      </c>
      <c r="B311" s="16">
        <v>0.22687499999999999</v>
      </c>
    </row>
    <row r="312" spans="1:2" x14ac:dyDescent="0.25">
      <c r="A312" s="15">
        <v>43185</v>
      </c>
      <c r="B312" s="16">
        <v>0.22687499999999999</v>
      </c>
    </row>
    <row r="313" spans="1:2" x14ac:dyDescent="0.25">
      <c r="A313" s="15">
        <v>43186</v>
      </c>
      <c r="B313" s="16">
        <v>0.22437499999999999</v>
      </c>
    </row>
    <row r="314" spans="1:2" x14ac:dyDescent="0.25">
      <c r="A314" s="15">
        <v>43187</v>
      </c>
      <c r="B314" s="16">
        <v>0.22562499999999999</v>
      </c>
    </row>
    <row r="315" spans="1:2" x14ac:dyDescent="0.25">
      <c r="A315" s="15">
        <v>43193</v>
      </c>
      <c r="B315" s="16">
        <v>0.22750000000000001</v>
      </c>
    </row>
    <row r="316" spans="1:2" x14ac:dyDescent="0.25">
      <c r="A316" s="15">
        <v>43194</v>
      </c>
      <c r="B316" s="16">
        <v>0.22812499999999999</v>
      </c>
    </row>
    <row r="317" spans="1:2" x14ac:dyDescent="0.25">
      <c r="A317" s="15">
        <v>43195</v>
      </c>
      <c r="B317" s="16">
        <v>0.22875000000000001</v>
      </c>
    </row>
    <row r="318" spans="1:2" x14ac:dyDescent="0.25">
      <c r="A318" s="15">
        <v>43196</v>
      </c>
      <c r="B318" s="16">
        <v>0.22625000000000001</v>
      </c>
    </row>
    <row r="319" spans="1:2" x14ac:dyDescent="0.25">
      <c r="A319" s="15">
        <v>43199</v>
      </c>
      <c r="B319" s="16">
        <v>0.22687499999999999</v>
      </c>
    </row>
    <row r="320" spans="1:2" x14ac:dyDescent="0.25">
      <c r="A320" s="15">
        <v>43200</v>
      </c>
      <c r="B320" s="16">
        <v>0.22875000000000001</v>
      </c>
    </row>
    <row r="321" spans="1:2" x14ac:dyDescent="0.25">
      <c r="A321" s="15">
        <v>43201</v>
      </c>
      <c r="B321" s="16">
        <v>0.22500000000000001</v>
      </c>
    </row>
    <row r="322" spans="1:2" x14ac:dyDescent="0.25">
      <c r="A322" s="15">
        <v>43202</v>
      </c>
      <c r="B322" s="16">
        <v>0.22812499999999999</v>
      </c>
    </row>
    <row r="323" spans="1:2" x14ac:dyDescent="0.25">
      <c r="A323" s="15">
        <v>43203</v>
      </c>
      <c r="B323" s="16">
        <v>0.22812499999999999</v>
      </c>
    </row>
    <row r="324" spans="1:2" x14ac:dyDescent="0.25">
      <c r="A324" s="15">
        <v>43206</v>
      </c>
      <c r="B324" s="16">
        <v>0.22750000000000001</v>
      </c>
    </row>
    <row r="325" spans="1:2" x14ac:dyDescent="0.25">
      <c r="A325" s="15">
        <v>43207</v>
      </c>
      <c r="B325" s="16">
        <v>0.23499999999999999</v>
      </c>
    </row>
    <row r="326" spans="1:2" x14ac:dyDescent="0.25">
      <c r="A326" s="15">
        <v>43208</v>
      </c>
      <c r="B326" s="16">
        <v>0.23</v>
      </c>
    </row>
    <row r="327" spans="1:2" x14ac:dyDescent="0.25">
      <c r="A327" s="15">
        <v>43209</v>
      </c>
      <c r="B327" s="16">
        <v>0.22750000000000001</v>
      </c>
    </row>
    <row r="328" spans="1:2" x14ac:dyDescent="0.25">
      <c r="A328" s="15">
        <v>43210</v>
      </c>
      <c r="B328" s="16">
        <v>0.23</v>
      </c>
    </row>
    <row r="329" spans="1:2" x14ac:dyDescent="0.25">
      <c r="A329" s="15">
        <v>43213</v>
      </c>
      <c r="B329" s="16">
        <v>0.22687499999999999</v>
      </c>
    </row>
    <row r="330" spans="1:2" x14ac:dyDescent="0.25">
      <c r="A330" s="15">
        <v>43214</v>
      </c>
      <c r="B330" s="16">
        <v>0.230625</v>
      </c>
    </row>
    <row r="331" spans="1:2" x14ac:dyDescent="0.25">
      <c r="A331" s="15">
        <v>43215</v>
      </c>
      <c r="B331" s="16">
        <v>0.22750000000000001</v>
      </c>
    </row>
    <row r="332" spans="1:2" x14ac:dyDescent="0.25">
      <c r="A332" s="15">
        <v>43216</v>
      </c>
      <c r="B332" s="16">
        <v>0.22437499999999999</v>
      </c>
    </row>
    <row r="333" spans="1:2" x14ac:dyDescent="0.25">
      <c r="A333" s="15">
        <v>43217</v>
      </c>
      <c r="B333" s="16">
        <v>0.22812499999999999</v>
      </c>
    </row>
    <row r="334" spans="1:2" x14ac:dyDescent="0.25">
      <c r="A334" s="15">
        <v>43222</v>
      </c>
      <c r="B334" s="16">
        <v>0.23499999999999999</v>
      </c>
    </row>
    <row r="335" spans="1:2" x14ac:dyDescent="0.25">
      <c r="A335" s="15">
        <v>43223</v>
      </c>
      <c r="B335" s="16">
        <v>0.23749999999999999</v>
      </c>
    </row>
    <row r="336" spans="1:2" x14ac:dyDescent="0.25">
      <c r="A336" s="15">
        <v>43224</v>
      </c>
      <c r="B336" s="16">
        <v>0.25750000000000001</v>
      </c>
    </row>
    <row r="337" spans="1:2" x14ac:dyDescent="0.25">
      <c r="A337" s="15">
        <v>43227</v>
      </c>
      <c r="B337" s="16">
        <v>0.260625</v>
      </c>
    </row>
    <row r="338" spans="1:2" x14ac:dyDescent="0.25">
      <c r="A338" s="15">
        <v>43228</v>
      </c>
      <c r="B338" s="16">
        <v>0.28249999999999997</v>
      </c>
    </row>
    <row r="339" spans="1:2" x14ac:dyDescent="0.25">
      <c r="A339" s="15">
        <v>43229</v>
      </c>
      <c r="B339" s="16">
        <v>0.28687499999999999</v>
      </c>
    </row>
    <row r="340" spans="1:2" x14ac:dyDescent="0.25">
      <c r="A340" s="15">
        <v>43230</v>
      </c>
      <c r="B340" s="16">
        <v>0.29062500000000002</v>
      </c>
    </row>
    <row r="341" spans="1:2" x14ac:dyDescent="0.25">
      <c r="A341" s="15">
        <v>43231</v>
      </c>
      <c r="B341" s="16">
        <v>0.28625</v>
      </c>
    </row>
    <row r="342" spans="1:2" x14ac:dyDescent="0.25">
      <c r="A342" s="15">
        <v>43234</v>
      </c>
      <c r="B342" s="16">
        <v>0.28687499999999999</v>
      </c>
    </row>
    <row r="343" spans="1:2" x14ac:dyDescent="0.25">
      <c r="A343" s="15">
        <v>43235</v>
      </c>
      <c r="B343" s="16">
        <v>0.31125000000000003</v>
      </c>
    </row>
    <row r="344" spans="1:2" x14ac:dyDescent="0.25">
      <c r="A344" s="15">
        <v>43236</v>
      </c>
      <c r="B344" s="16">
        <v>0.29249999999999998</v>
      </c>
    </row>
    <row r="345" spans="1:2" x14ac:dyDescent="0.25">
      <c r="A345" s="15">
        <v>43237</v>
      </c>
      <c r="B345" s="16">
        <v>0.30125000000000002</v>
      </c>
    </row>
    <row r="346" spans="1:2" x14ac:dyDescent="0.25">
      <c r="A346" s="15">
        <v>43238</v>
      </c>
      <c r="B346" s="16">
        <v>0.29249999999999998</v>
      </c>
    </row>
    <row r="347" spans="1:2" x14ac:dyDescent="0.25">
      <c r="A347" s="15">
        <v>43241</v>
      </c>
      <c r="B347" s="16">
        <v>0.28999999999999998</v>
      </c>
    </row>
    <row r="348" spans="1:2" x14ac:dyDescent="0.25">
      <c r="A348" s="15">
        <v>43242</v>
      </c>
      <c r="B348" s="16">
        <v>0.29499999999999998</v>
      </c>
    </row>
    <row r="349" spans="1:2" x14ac:dyDescent="0.25">
      <c r="A349" s="15">
        <v>43243</v>
      </c>
      <c r="B349" s="16">
        <v>0.28187499999999999</v>
      </c>
    </row>
    <row r="350" spans="1:2" x14ac:dyDescent="0.25">
      <c r="A350" s="15">
        <v>43244</v>
      </c>
      <c r="B350" s="16">
        <v>0.28499999999999998</v>
      </c>
    </row>
    <row r="351" spans="1:2" x14ac:dyDescent="0.25">
      <c r="A351" s="15">
        <v>43248</v>
      </c>
      <c r="B351" s="16">
        <v>0.28249999999999997</v>
      </c>
    </row>
    <row r="352" spans="1:2" x14ac:dyDescent="0.25">
      <c r="A352" s="15">
        <v>43249</v>
      </c>
      <c r="B352" s="16">
        <v>0.28999999999999998</v>
      </c>
    </row>
    <row r="353" spans="1:2" x14ac:dyDescent="0.25">
      <c r="A353" s="15">
        <v>43250</v>
      </c>
      <c r="B353" s="16">
        <v>0.294375</v>
      </c>
    </row>
    <row r="354" spans="1:2" x14ac:dyDescent="0.25">
      <c r="A354" s="15">
        <v>43251</v>
      </c>
      <c r="B354" s="16">
        <v>0.3</v>
      </c>
    </row>
    <row r="355" spans="1:2" x14ac:dyDescent="0.25">
      <c r="A355" s="15">
        <v>43252</v>
      </c>
      <c r="B355" s="16">
        <v>0.29249999999999998</v>
      </c>
    </row>
    <row r="356" spans="1:2" x14ac:dyDescent="0.25">
      <c r="A356" s="15">
        <v>43255</v>
      </c>
      <c r="B356" s="16">
        <v>0.28812500000000002</v>
      </c>
    </row>
    <row r="357" spans="1:2" x14ac:dyDescent="0.25">
      <c r="A357" s="15">
        <v>43256</v>
      </c>
      <c r="B357" s="16">
        <v>0.294375</v>
      </c>
    </row>
    <row r="358" spans="1:2" x14ac:dyDescent="0.25">
      <c r="A358" s="15">
        <v>43257</v>
      </c>
      <c r="B358" s="16">
        <v>0.29312500000000002</v>
      </c>
    </row>
    <row r="359" spans="1:2" x14ac:dyDescent="0.25">
      <c r="A359" s="15">
        <v>43258</v>
      </c>
      <c r="B359" s="16">
        <v>0.291875</v>
      </c>
    </row>
    <row r="360" spans="1:2" x14ac:dyDescent="0.25">
      <c r="A360" s="15">
        <v>43259</v>
      </c>
      <c r="B360" s="16">
        <v>0.294375</v>
      </c>
    </row>
    <row r="361" spans="1:2" x14ac:dyDescent="0.25">
      <c r="A361" s="15">
        <v>43262</v>
      </c>
      <c r="B361" s="16">
        <v>0.28937499999999999</v>
      </c>
    </row>
    <row r="362" spans="1:2" x14ac:dyDescent="0.25">
      <c r="A362" s="15">
        <v>43263</v>
      </c>
      <c r="B362" s="16">
        <v>0.29749999999999999</v>
      </c>
    </row>
    <row r="363" spans="1:2" x14ac:dyDescent="0.25">
      <c r="A363" s="15">
        <v>43264</v>
      </c>
      <c r="B363" s="16">
        <v>0.29812499999999997</v>
      </c>
    </row>
    <row r="364" spans="1:2" x14ac:dyDescent="0.25">
      <c r="A364" s="15">
        <v>43265</v>
      </c>
      <c r="B364" s="16">
        <v>0.294375</v>
      </c>
    </row>
    <row r="365" spans="1:2" x14ac:dyDescent="0.25">
      <c r="A365" s="15">
        <v>43266</v>
      </c>
      <c r="B365" s="16">
        <v>0.29312500000000002</v>
      </c>
    </row>
    <row r="366" spans="1:2" x14ac:dyDescent="0.25">
      <c r="A366" s="15">
        <v>43269</v>
      </c>
      <c r="B366" s="16">
        <v>0.30687500000000001</v>
      </c>
    </row>
    <row r="367" spans="1:2" x14ac:dyDescent="0.25">
      <c r="A367" s="15">
        <v>43270</v>
      </c>
      <c r="B367" s="16">
        <v>0.3175</v>
      </c>
    </row>
    <row r="368" spans="1:2" x14ac:dyDescent="0.25">
      <c r="A368" s="15">
        <v>43272</v>
      </c>
      <c r="B368" s="16">
        <v>0.32062499999999999</v>
      </c>
    </row>
    <row r="369" spans="1:2" x14ac:dyDescent="0.25">
      <c r="A369" s="15">
        <v>43273</v>
      </c>
      <c r="B369" s="16">
        <v>0.3175</v>
      </c>
    </row>
    <row r="370" spans="1:2" x14ac:dyDescent="0.25">
      <c r="A370" s="15">
        <v>43276</v>
      </c>
      <c r="B370" s="16">
        <v>0.32874999999999999</v>
      </c>
    </row>
    <row r="371" spans="1:2" x14ac:dyDescent="0.25">
      <c r="A371" s="15">
        <v>43277</v>
      </c>
      <c r="B371" s="16">
        <v>0.32374999999999998</v>
      </c>
    </row>
    <row r="372" spans="1:2" x14ac:dyDescent="0.25">
      <c r="A372" s="15">
        <v>43278</v>
      </c>
      <c r="B372" s="16">
        <v>0.31874999999999998</v>
      </c>
    </row>
    <row r="373" spans="1:2" x14ac:dyDescent="0.25">
      <c r="A373" s="15">
        <v>43279</v>
      </c>
      <c r="B373" s="16">
        <v>0.325625</v>
      </c>
    </row>
    <row r="374" spans="1:2" x14ac:dyDescent="0.25">
      <c r="A374" s="15">
        <v>43280</v>
      </c>
      <c r="B374" s="16">
        <v>0.32687500000000003</v>
      </c>
    </row>
    <row r="375" spans="1:2" x14ac:dyDescent="0.25">
      <c r="A375" s="15">
        <v>43283</v>
      </c>
      <c r="B375" s="16">
        <v>0.33</v>
      </c>
    </row>
    <row r="376" spans="1:2" x14ac:dyDescent="0.25">
      <c r="A376" s="15">
        <v>43284</v>
      </c>
      <c r="B376" s="16">
        <v>0.33750000000000002</v>
      </c>
    </row>
    <row r="377" spans="1:2" x14ac:dyDescent="0.25">
      <c r="A377" s="15">
        <v>43285</v>
      </c>
      <c r="B377" s="16">
        <v>0.33374999999999999</v>
      </c>
    </row>
    <row r="378" spans="1:2" x14ac:dyDescent="0.25">
      <c r="A378" s="15">
        <v>43286</v>
      </c>
      <c r="B378" s="16">
        <v>0.33937499999999998</v>
      </c>
    </row>
    <row r="379" spans="1:2" x14ac:dyDescent="0.25">
      <c r="A379" s="15">
        <v>43287</v>
      </c>
      <c r="B379" s="16">
        <v>0.33812500000000001</v>
      </c>
    </row>
    <row r="380" spans="1:2" x14ac:dyDescent="0.25">
      <c r="A380" s="15">
        <v>43291</v>
      </c>
      <c r="B380" s="16">
        <v>0.33374999999999999</v>
      </c>
    </row>
    <row r="381" spans="1:2" x14ac:dyDescent="0.25">
      <c r="A381" s="15">
        <v>43292</v>
      </c>
      <c r="B381" s="16">
        <v>0.33500000000000002</v>
      </c>
    </row>
    <row r="382" spans="1:2" x14ac:dyDescent="0.25">
      <c r="A382" s="15">
        <v>43293</v>
      </c>
      <c r="B382" s="16">
        <v>0.33750000000000002</v>
      </c>
    </row>
    <row r="383" spans="1:2" x14ac:dyDescent="0.25">
      <c r="A383" s="15">
        <v>43294</v>
      </c>
      <c r="B383" s="16">
        <v>0.34812500000000002</v>
      </c>
    </row>
    <row r="384" spans="1:2" x14ac:dyDescent="0.25">
      <c r="A384" s="15">
        <v>43297</v>
      </c>
      <c r="B384" s="16">
        <v>0.34375</v>
      </c>
    </row>
    <row r="385" spans="1:4" x14ac:dyDescent="0.25">
      <c r="A385" s="15">
        <v>43298</v>
      </c>
      <c r="B385" s="16">
        <v>0.34687499999999999</v>
      </c>
    </row>
    <row r="386" spans="1:4" x14ac:dyDescent="0.25">
      <c r="A386" s="15">
        <v>43299</v>
      </c>
      <c r="B386" s="16">
        <v>0.36062499999999997</v>
      </c>
    </row>
    <row r="387" spans="1:4" x14ac:dyDescent="0.25">
      <c r="A387" s="15">
        <v>43300</v>
      </c>
      <c r="B387" s="16">
        <v>0.36125000000000002</v>
      </c>
    </row>
    <row r="388" spans="1:4" x14ac:dyDescent="0.25">
      <c r="A388" s="15">
        <v>43301</v>
      </c>
      <c r="B388" s="16">
        <v>0.35562500000000002</v>
      </c>
    </row>
    <row r="389" spans="1:4" x14ac:dyDescent="0.25">
      <c r="A389" s="15">
        <v>43304</v>
      </c>
      <c r="B389" s="16">
        <v>0.34562500000000002</v>
      </c>
    </row>
    <row r="390" spans="1:4" x14ac:dyDescent="0.25">
      <c r="A390" s="15">
        <v>43305</v>
      </c>
      <c r="B390" s="16">
        <v>0.35125000000000001</v>
      </c>
    </row>
    <row r="391" spans="1:4" x14ac:dyDescent="0.25">
      <c r="A391" s="15">
        <v>43306</v>
      </c>
      <c r="B391" s="16">
        <v>0.35249999999999998</v>
      </c>
      <c r="D391" s="18"/>
    </row>
    <row r="392" spans="1:4" x14ac:dyDescent="0.25">
      <c r="A392" s="15">
        <v>43307</v>
      </c>
      <c r="B392" s="16">
        <v>0.35187499999999999</v>
      </c>
    </row>
    <row r="393" spans="1:4" x14ac:dyDescent="0.25">
      <c r="A393" s="15">
        <v>43308</v>
      </c>
      <c r="B393" s="16">
        <v>0.34312500000000001</v>
      </c>
    </row>
    <row r="394" spans="1:4" x14ac:dyDescent="0.25">
      <c r="A394" s="15">
        <v>43311</v>
      </c>
      <c r="B394" s="16">
        <v>0.35187499999999999</v>
      </c>
    </row>
    <row r="395" spans="1:4" x14ac:dyDescent="0.25">
      <c r="A395" s="15">
        <v>43312</v>
      </c>
      <c r="B395" s="16">
        <v>0.35187499999999999</v>
      </c>
    </row>
    <row r="396" spans="1:4" x14ac:dyDescent="0.25">
      <c r="A396" s="15">
        <v>43313</v>
      </c>
      <c r="B396" s="16">
        <v>0.35125000000000001</v>
      </c>
    </row>
    <row r="397" spans="1:4" x14ac:dyDescent="0.25">
      <c r="A397" s="15">
        <v>43314</v>
      </c>
      <c r="B397" s="16">
        <v>0.34937499999999999</v>
      </c>
    </row>
    <row r="398" spans="1:4" x14ac:dyDescent="0.25">
      <c r="A398" s="15">
        <v>43315</v>
      </c>
      <c r="B398" s="16">
        <v>0.34375</v>
      </c>
    </row>
    <row r="399" spans="1:4" x14ac:dyDescent="0.25">
      <c r="A399" s="15">
        <v>43318</v>
      </c>
      <c r="B399" s="16">
        <v>0.34562500000000002</v>
      </c>
    </row>
    <row r="400" spans="1:4" x14ac:dyDescent="0.25">
      <c r="A400" s="15">
        <v>43319</v>
      </c>
      <c r="B400" s="16">
        <v>0.34812500000000002</v>
      </c>
    </row>
    <row r="401" spans="1:2" x14ac:dyDescent="0.25">
      <c r="A401" s="15">
        <v>43320</v>
      </c>
      <c r="B401" s="16">
        <v>0.34</v>
      </c>
    </row>
    <row r="402" spans="1:2" x14ac:dyDescent="0.25">
      <c r="A402" s="15">
        <v>43321</v>
      </c>
      <c r="B402" s="16">
        <v>0.34562500000000002</v>
      </c>
    </row>
    <row r="403" spans="1:2" x14ac:dyDescent="0.25">
      <c r="A403" s="15">
        <v>43322</v>
      </c>
      <c r="B403" s="16">
        <v>0.33750000000000002</v>
      </c>
    </row>
    <row r="404" spans="1:2" x14ac:dyDescent="0.25">
      <c r="A404" s="15">
        <v>43325</v>
      </c>
      <c r="B404" s="16">
        <v>0.34749999999999998</v>
      </c>
    </row>
    <row r="405" spans="1:2" x14ac:dyDescent="0.25">
      <c r="A405" s="15">
        <v>43326</v>
      </c>
      <c r="B405" s="16">
        <v>0.35499999999999998</v>
      </c>
    </row>
    <row r="406" spans="1:2" x14ac:dyDescent="0.25">
      <c r="A406" s="15">
        <v>43327</v>
      </c>
      <c r="B406" s="16">
        <v>0.36</v>
      </c>
    </row>
    <row r="407" spans="1:2" x14ac:dyDescent="0.25">
      <c r="A407" s="15">
        <v>43328</v>
      </c>
      <c r="B407" s="16">
        <v>0.354375</v>
      </c>
    </row>
    <row r="408" spans="1:2" x14ac:dyDescent="0.25">
      <c r="A408" s="15">
        <v>43329</v>
      </c>
      <c r="B408" s="16">
        <v>0.35625000000000001</v>
      </c>
    </row>
    <row r="409" spans="1:2" x14ac:dyDescent="0.25">
      <c r="A409" s="15">
        <v>43332</v>
      </c>
      <c r="B409" s="16">
        <v>0.35625000000000001</v>
      </c>
    </row>
    <row r="410" spans="1:2" x14ac:dyDescent="0.25">
      <c r="A410" s="15">
        <v>43333</v>
      </c>
      <c r="B410" s="16">
        <v>0.354375</v>
      </c>
    </row>
    <row r="411" spans="1:2" x14ac:dyDescent="0.25">
      <c r="A411" s="15">
        <v>43334</v>
      </c>
      <c r="B411" s="16">
        <v>0.34250000000000003</v>
      </c>
    </row>
    <row r="412" spans="1:2" x14ac:dyDescent="0.25">
      <c r="A412" s="15">
        <v>43335</v>
      </c>
      <c r="B412" s="16">
        <v>0.354375</v>
      </c>
    </row>
    <row r="413" spans="1:2" x14ac:dyDescent="0.25">
      <c r="A413" s="15">
        <v>43336</v>
      </c>
      <c r="B413" s="16">
        <v>0.35062500000000002</v>
      </c>
    </row>
    <row r="414" spans="1:2" x14ac:dyDescent="0.25">
      <c r="A414" s="15">
        <v>43339</v>
      </c>
      <c r="B414" s="16">
        <v>0.34625</v>
      </c>
    </row>
    <row r="415" spans="1:2" x14ac:dyDescent="0.25">
      <c r="A415" s="15">
        <v>43340</v>
      </c>
      <c r="B415" s="16">
        <v>0.34875</v>
      </c>
    </row>
    <row r="416" spans="1:2" x14ac:dyDescent="0.25">
      <c r="A416" s="15">
        <v>43341</v>
      </c>
      <c r="B416" s="16">
        <v>0.35062500000000002</v>
      </c>
    </row>
    <row r="417" spans="1:2" x14ac:dyDescent="0.25">
      <c r="A417" s="15">
        <v>43342</v>
      </c>
      <c r="B417" s="16">
        <v>0.36062499999999997</v>
      </c>
    </row>
    <row r="418" spans="1:2" x14ac:dyDescent="0.25">
      <c r="A418" s="15">
        <v>43343</v>
      </c>
      <c r="B418" s="16">
        <v>0.39437499999999998</v>
      </c>
    </row>
    <row r="419" spans="1:2" x14ac:dyDescent="0.25">
      <c r="A419" s="15">
        <v>43346</v>
      </c>
      <c r="B419" s="16">
        <v>0.39</v>
      </c>
    </row>
    <row r="420" spans="1:2" x14ac:dyDescent="0.25">
      <c r="A420" s="15">
        <v>43347</v>
      </c>
      <c r="B420" s="16">
        <v>0.40062500000000001</v>
      </c>
    </row>
    <row r="421" spans="1:2" x14ac:dyDescent="0.25">
      <c r="A421" s="15">
        <v>43348</v>
      </c>
      <c r="B421" s="16">
        <v>0.40312500000000001</v>
      </c>
    </row>
    <row r="422" spans="1:2" x14ac:dyDescent="0.25">
      <c r="A422" s="15">
        <v>43349</v>
      </c>
      <c r="B422" s="16">
        <v>0.40562500000000001</v>
      </c>
    </row>
    <row r="423" spans="1:2" x14ac:dyDescent="0.25">
      <c r="A423" s="15">
        <v>43350</v>
      </c>
      <c r="B423" s="16">
        <v>0.40562500000000001</v>
      </c>
    </row>
    <row r="424" spans="1:2" x14ac:dyDescent="0.25">
      <c r="A424" s="15">
        <v>43353</v>
      </c>
      <c r="B424" s="16">
        <v>0.39937499999999998</v>
      </c>
    </row>
    <row r="425" spans="1:2" x14ac:dyDescent="0.25">
      <c r="A425" s="15">
        <v>43354</v>
      </c>
      <c r="B425" s="16">
        <v>0.40500000000000003</v>
      </c>
    </row>
    <row r="426" spans="1:2" x14ac:dyDescent="0.25">
      <c r="A426" s="15">
        <v>43355</v>
      </c>
      <c r="B426" s="16">
        <v>0.40500000000000003</v>
      </c>
    </row>
    <row r="427" spans="1:2" x14ac:dyDescent="0.25">
      <c r="A427" s="15">
        <v>43356</v>
      </c>
      <c r="B427" s="16">
        <v>0.41</v>
      </c>
    </row>
    <row r="428" spans="1:2" x14ac:dyDescent="0.25">
      <c r="A428" s="15">
        <v>43357</v>
      </c>
      <c r="B428" s="16">
        <v>0.40812500000000002</v>
      </c>
    </row>
    <row r="429" spans="1:2" x14ac:dyDescent="0.25">
      <c r="A429" s="15">
        <v>43360</v>
      </c>
      <c r="B429" s="16">
        <v>0.424375</v>
      </c>
    </row>
    <row r="430" spans="1:2" x14ac:dyDescent="0.25">
      <c r="A430" s="15">
        <v>43361</v>
      </c>
      <c r="B430" s="16">
        <v>0.4325</v>
      </c>
    </row>
    <row r="431" spans="1:2" x14ac:dyDescent="0.25">
      <c r="A431" s="15">
        <v>43362</v>
      </c>
      <c r="B431" s="16">
        <v>0.45437499999999997</v>
      </c>
    </row>
    <row r="432" spans="1:2" x14ac:dyDescent="0.25">
      <c r="A432" s="15">
        <v>43363</v>
      </c>
      <c r="B432" s="16">
        <v>0.43937500000000002</v>
      </c>
    </row>
    <row r="433" spans="1:2" x14ac:dyDescent="0.25">
      <c r="A433" s="15">
        <v>43364</v>
      </c>
      <c r="B433" s="16">
        <v>0.426875</v>
      </c>
    </row>
    <row r="434" spans="1:2" x14ac:dyDescent="0.25">
      <c r="A434" s="15">
        <v>43367</v>
      </c>
      <c r="B434" s="16">
        <v>0.43125000000000002</v>
      </c>
    </row>
    <row r="435" spans="1:2" x14ac:dyDescent="0.25">
      <c r="A435" s="15">
        <v>43368</v>
      </c>
      <c r="B435" s="16">
        <v>0.44500000000000001</v>
      </c>
    </row>
    <row r="436" spans="1:2" x14ac:dyDescent="0.25">
      <c r="A436" s="15">
        <v>43369</v>
      </c>
      <c r="B436" s="16">
        <v>0.424375</v>
      </c>
    </row>
    <row r="437" spans="1:2" x14ac:dyDescent="0.25">
      <c r="A437" s="15">
        <v>43370</v>
      </c>
      <c r="B437" s="16">
        <v>0.42749999999999999</v>
      </c>
    </row>
    <row r="438" spans="1:2" x14ac:dyDescent="0.25">
      <c r="A438" s="15">
        <v>43371</v>
      </c>
      <c r="B438" s="16">
        <v>0.43312499999999998</v>
      </c>
    </row>
    <row r="439" spans="1:2" x14ac:dyDescent="0.25">
      <c r="A439" s="15">
        <v>43374</v>
      </c>
      <c r="B439" s="16">
        <v>0.45437499999999997</v>
      </c>
    </row>
    <row r="440" spans="1:2" x14ac:dyDescent="0.25">
      <c r="A440" s="15">
        <v>43375</v>
      </c>
      <c r="B440" s="16">
        <v>0.47875000000000001</v>
      </c>
    </row>
    <row r="441" spans="1:2" x14ac:dyDescent="0.25">
      <c r="A441" s="15">
        <v>43376</v>
      </c>
      <c r="B441" s="16">
        <v>0.47249999999999998</v>
      </c>
    </row>
    <row r="442" spans="1:2" x14ac:dyDescent="0.25">
      <c r="A442" s="15">
        <v>43377</v>
      </c>
      <c r="B442" s="16">
        <v>0.486875</v>
      </c>
    </row>
    <row r="443" spans="1:2" x14ac:dyDescent="0.25">
      <c r="A443" s="15">
        <v>43378</v>
      </c>
      <c r="B443" s="16">
        <v>0.486875</v>
      </c>
    </row>
    <row r="444" spans="1:2" x14ac:dyDescent="0.25">
      <c r="A444" s="15">
        <v>43381</v>
      </c>
      <c r="B444" s="16">
        <v>0.49</v>
      </c>
    </row>
    <row r="445" spans="1:2" x14ac:dyDescent="0.25">
      <c r="A445" s="15">
        <v>43382</v>
      </c>
      <c r="B445" s="16">
        <v>0.50187499999999996</v>
      </c>
    </row>
    <row r="446" spans="1:2" x14ac:dyDescent="0.25">
      <c r="A446" s="15">
        <v>43383</v>
      </c>
      <c r="B446" s="16">
        <v>0.48812499999999998</v>
      </c>
    </row>
    <row r="447" spans="1:2" x14ac:dyDescent="0.25">
      <c r="A447" s="15">
        <v>43384</v>
      </c>
      <c r="B447" s="16">
        <v>0.486875</v>
      </c>
    </row>
    <row r="448" spans="1:2" x14ac:dyDescent="0.25">
      <c r="A448" s="15">
        <v>43385</v>
      </c>
      <c r="B448" s="16">
        <v>0.51375000000000004</v>
      </c>
    </row>
    <row r="449" spans="1:2" x14ac:dyDescent="0.25">
      <c r="A449" s="15">
        <v>43389</v>
      </c>
      <c r="B449" s="16">
        <v>0.49812499999999998</v>
      </c>
    </row>
    <row r="450" spans="1:2" x14ac:dyDescent="0.25">
      <c r="A450" s="15">
        <v>43390</v>
      </c>
      <c r="B450" s="16">
        <v>0.52812499999999996</v>
      </c>
    </row>
    <row r="451" spans="1:2" x14ac:dyDescent="0.25">
      <c r="A451" s="15">
        <v>43391</v>
      </c>
      <c r="B451" s="16">
        <v>0.53437500000000004</v>
      </c>
    </row>
    <row r="452" spans="1:2" x14ac:dyDescent="0.25">
      <c r="A452" s="15">
        <v>43392</v>
      </c>
      <c r="B452" s="16">
        <v>0.53249999999999997</v>
      </c>
    </row>
    <row r="453" spans="1:2" x14ac:dyDescent="0.25">
      <c r="A453" s="15">
        <v>43395</v>
      </c>
      <c r="B453" s="16">
        <v>0.51187499999999997</v>
      </c>
    </row>
    <row r="454" spans="1:2" x14ac:dyDescent="0.25">
      <c r="A454" s="15">
        <v>43396</v>
      </c>
      <c r="B454" s="16">
        <v>0.52562500000000001</v>
      </c>
    </row>
    <row r="455" spans="1:2" x14ac:dyDescent="0.25">
      <c r="A455" s="15">
        <v>43397</v>
      </c>
      <c r="B455" s="16">
        <v>0.51500000000000001</v>
      </c>
    </row>
    <row r="456" spans="1:2" x14ac:dyDescent="0.25">
      <c r="A456" s="15">
        <v>43398</v>
      </c>
      <c r="B456" s="16">
        <v>0.53812499999999996</v>
      </c>
    </row>
    <row r="457" spans="1:2" x14ac:dyDescent="0.25">
      <c r="A457" s="15">
        <v>43399</v>
      </c>
      <c r="B457" s="16">
        <v>0.50249999999999995</v>
      </c>
    </row>
    <row r="458" spans="1:2" x14ac:dyDescent="0.25">
      <c r="A458" s="15">
        <v>43402</v>
      </c>
      <c r="B458" s="16">
        <v>0.51437500000000003</v>
      </c>
    </row>
    <row r="459" spans="1:2" x14ac:dyDescent="0.25">
      <c r="A459" s="15">
        <v>43403</v>
      </c>
      <c r="B459" s="16">
        <v>0.53249999999999997</v>
      </c>
    </row>
    <row r="460" spans="1:2" x14ac:dyDescent="0.25">
      <c r="A460" s="15">
        <v>43404</v>
      </c>
      <c r="B460" s="16">
        <v>0.51500000000000001</v>
      </c>
    </row>
    <row r="461" spans="1:2" x14ac:dyDescent="0.25">
      <c r="A461" s="15">
        <v>43405</v>
      </c>
      <c r="B461" s="16">
        <v>0.53625</v>
      </c>
    </row>
    <row r="462" spans="1:2" x14ac:dyDescent="0.25">
      <c r="A462" s="15">
        <v>43406</v>
      </c>
      <c r="B462" s="16">
        <v>0.51249999999999996</v>
      </c>
    </row>
    <row r="463" spans="1:2" x14ac:dyDescent="0.25">
      <c r="A463" s="15">
        <v>43409</v>
      </c>
      <c r="B463" s="16">
        <v>0.51687499999999997</v>
      </c>
    </row>
    <row r="464" spans="1:2" x14ac:dyDescent="0.25">
      <c r="A464" s="15">
        <v>43411</v>
      </c>
      <c r="B464" s="16">
        <v>0.52124999999999999</v>
      </c>
    </row>
    <row r="465" spans="1:2" x14ac:dyDescent="0.25">
      <c r="A465" s="15">
        <v>43412</v>
      </c>
      <c r="B465" s="16">
        <v>0.520625</v>
      </c>
    </row>
    <row r="466" spans="1:2" x14ac:dyDescent="0.25">
      <c r="A466" s="15">
        <v>43413</v>
      </c>
      <c r="B466" s="16">
        <v>0.50937500000000002</v>
      </c>
    </row>
    <row r="467" spans="1:2" x14ac:dyDescent="0.25">
      <c r="A467" s="15">
        <v>43416</v>
      </c>
      <c r="B467" s="16">
        <v>0.51875000000000004</v>
      </c>
    </row>
    <row r="468" spans="1:2" x14ac:dyDescent="0.25">
      <c r="A468" s="15">
        <v>43417</v>
      </c>
      <c r="B468" s="16">
        <v>0.51249999999999996</v>
      </c>
    </row>
    <row r="469" spans="1:2" x14ac:dyDescent="0.25">
      <c r="A469" s="15">
        <v>43418</v>
      </c>
      <c r="B469" s="16">
        <v>0.53062500000000001</v>
      </c>
    </row>
    <row r="470" spans="1:2" x14ac:dyDescent="0.25">
      <c r="A470" s="15">
        <v>43419</v>
      </c>
      <c r="B470" s="16">
        <v>0.52249999999999996</v>
      </c>
    </row>
    <row r="471" spans="1:2" x14ac:dyDescent="0.25">
      <c r="A471" s="15">
        <v>43420</v>
      </c>
      <c r="B471" s="16">
        <v>0.515625</v>
      </c>
    </row>
    <row r="472" spans="1:2" x14ac:dyDescent="0.25">
      <c r="A472" s="15">
        <v>43424</v>
      </c>
      <c r="B472" s="16">
        <v>0.51124999999999998</v>
      </c>
    </row>
    <row r="473" spans="1:2" x14ac:dyDescent="0.25">
      <c r="A473" s="15">
        <v>43425</v>
      </c>
      <c r="B473" s="16">
        <v>0.50312500000000004</v>
      </c>
    </row>
    <row r="474" spans="1:2" x14ac:dyDescent="0.25">
      <c r="A474" s="15">
        <v>43426</v>
      </c>
      <c r="B474" s="16">
        <v>0.50437500000000002</v>
      </c>
    </row>
    <row r="475" spans="1:2" x14ac:dyDescent="0.25">
      <c r="A475" s="15">
        <v>43427</v>
      </c>
      <c r="B475" s="16">
        <v>0.50062499999999999</v>
      </c>
    </row>
    <row r="476" spans="1:2" x14ac:dyDescent="0.25">
      <c r="A476" s="15">
        <v>43430</v>
      </c>
      <c r="B476" s="16">
        <v>0.48812499999999998</v>
      </c>
    </row>
    <row r="477" spans="1:2" x14ac:dyDescent="0.25">
      <c r="A477" s="15">
        <v>43431</v>
      </c>
      <c r="B477" s="16">
        <v>0.51624999999999999</v>
      </c>
    </row>
    <row r="478" spans="1:2" x14ac:dyDescent="0.25">
      <c r="A478" s="15">
        <v>43432</v>
      </c>
      <c r="B478" s="16">
        <v>0.50624999999999998</v>
      </c>
    </row>
    <row r="479" spans="1:2" x14ac:dyDescent="0.25">
      <c r="A479" s="15">
        <v>43433</v>
      </c>
      <c r="B479" s="16">
        <v>0.51249999999999996</v>
      </c>
    </row>
    <row r="480" spans="1:2" x14ac:dyDescent="0.25">
      <c r="A480" s="15">
        <v>43434</v>
      </c>
      <c r="B480" s="16">
        <v>0.51249999999999996</v>
      </c>
    </row>
    <row r="481" spans="1:2" x14ac:dyDescent="0.25">
      <c r="A481" s="15">
        <v>43437</v>
      </c>
      <c r="B481" s="16">
        <v>0.49249999999999999</v>
      </c>
    </row>
    <row r="482" spans="1:2" x14ac:dyDescent="0.25">
      <c r="A482" s="15">
        <v>43438</v>
      </c>
      <c r="B482" s="16">
        <v>0.50187499999999996</v>
      </c>
    </row>
    <row r="483" spans="1:2" x14ac:dyDescent="0.25">
      <c r="A483" s="15">
        <v>43439</v>
      </c>
      <c r="B483" s="16">
        <v>0.49187500000000001</v>
      </c>
    </row>
    <row r="484" spans="1:2" x14ac:dyDescent="0.25">
      <c r="A484" s="15">
        <v>43440</v>
      </c>
      <c r="B484" s="16">
        <v>0.49249999999999999</v>
      </c>
    </row>
    <row r="485" spans="1:2" x14ac:dyDescent="0.25">
      <c r="A485" s="15">
        <v>43441</v>
      </c>
      <c r="B485" s="16">
        <v>0.48875000000000002</v>
      </c>
    </row>
    <row r="486" spans="1:2" x14ac:dyDescent="0.25">
      <c r="A486" s="15">
        <v>43444</v>
      </c>
      <c r="B486" s="16">
        <v>0.48</v>
      </c>
    </row>
    <row r="487" spans="1:2" x14ac:dyDescent="0.25">
      <c r="A487" s="15">
        <v>43445</v>
      </c>
      <c r="B487" s="16">
        <v>0.49625000000000002</v>
      </c>
    </row>
    <row r="488" spans="1:2" x14ac:dyDescent="0.25">
      <c r="A488" s="15">
        <v>43446</v>
      </c>
      <c r="B488" s="16">
        <v>0.47812500000000002</v>
      </c>
    </row>
    <row r="489" spans="1:2" x14ac:dyDescent="0.25">
      <c r="A489" s="15">
        <v>43447</v>
      </c>
      <c r="B489" s="16">
        <v>0.48562499999999997</v>
      </c>
    </row>
    <row r="490" spans="1:2" x14ac:dyDescent="0.25">
      <c r="A490" s="15">
        <v>43448</v>
      </c>
      <c r="B490" s="16">
        <v>0.47312500000000002</v>
      </c>
    </row>
    <row r="491" spans="1:2" x14ac:dyDescent="0.25">
      <c r="A491" s="15">
        <v>43449</v>
      </c>
      <c r="B491" s="16">
        <v>0.47312500000000002</v>
      </c>
    </row>
    <row r="492" spans="1:2" x14ac:dyDescent="0.25">
      <c r="A492" s="15">
        <v>43450</v>
      </c>
      <c r="B492" s="16">
        <v>0.47312500000000002</v>
      </c>
    </row>
    <row r="493" spans="1:2" x14ac:dyDescent="0.25">
      <c r="A493" s="15">
        <v>43451</v>
      </c>
      <c r="B493" s="16">
        <v>0.48499999999999999</v>
      </c>
    </row>
    <row r="494" spans="1:2" x14ac:dyDescent="0.25">
      <c r="A494" s="15">
        <v>43452</v>
      </c>
      <c r="B494" s="16">
        <v>0.48062500000000002</v>
      </c>
    </row>
    <row r="495" spans="1:2" x14ac:dyDescent="0.25">
      <c r="A495" s="15">
        <v>43453</v>
      </c>
      <c r="B495" s="16">
        <v>0.49562499999999998</v>
      </c>
    </row>
    <row r="496" spans="1:2" x14ac:dyDescent="0.25">
      <c r="A496" s="15">
        <v>43454</v>
      </c>
      <c r="B496" s="16">
        <v>0.48562499999999997</v>
      </c>
    </row>
    <row r="497" spans="1:7" x14ac:dyDescent="0.25">
      <c r="A497" s="15">
        <v>43455</v>
      </c>
      <c r="B497" s="16">
        <v>0.479375</v>
      </c>
    </row>
    <row r="498" spans="1:7" x14ac:dyDescent="0.25">
      <c r="A498" s="15">
        <v>43459</v>
      </c>
      <c r="B498" s="16">
        <v>0.479375</v>
      </c>
    </row>
    <row r="499" spans="1:7" x14ac:dyDescent="0.25">
      <c r="A499" s="15">
        <v>43460</v>
      </c>
      <c r="B499" s="16">
        <v>0.47</v>
      </c>
    </row>
    <row r="500" spans="1:7" x14ac:dyDescent="0.25">
      <c r="A500" s="15">
        <v>43461</v>
      </c>
      <c r="B500" s="16">
        <v>0.48249999999999998</v>
      </c>
    </row>
    <row r="501" spans="1:7" x14ac:dyDescent="0.25">
      <c r="A501" s="15">
        <v>43462</v>
      </c>
      <c r="B501" s="16">
        <v>0.495</v>
      </c>
    </row>
    <row r="502" spans="1:7" x14ac:dyDescent="0.25">
      <c r="A502" s="15">
        <v>43467</v>
      </c>
      <c r="B502" s="16">
        <v>0.47</v>
      </c>
      <c r="C502" s="157">
        <v>37.93</v>
      </c>
      <c r="D502" s="15"/>
      <c r="E502" s="157"/>
      <c r="G502" s="157"/>
    </row>
    <row r="503" spans="1:7" x14ac:dyDescent="0.25">
      <c r="A503" s="15">
        <v>43468</v>
      </c>
      <c r="B503" s="16">
        <v>0.47499999999999998</v>
      </c>
      <c r="C503" s="157">
        <v>37.549999999999997</v>
      </c>
      <c r="D503" s="15"/>
      <c r="E503" s="157"/>
      <c r="G503" s="157"/>
    </row>
    <row r="504" spans="1:7" x14ac:dyDescent="0.25">
      <c r="A504" s="15">
        <v>43469</v>
      </c>
      <c r="B504" s="16">
        <v>0.46937499999999999</v>
      </c>
      <c r="C504" s="157">
        <v>37.39</v>
      </c>
      <c r="D504" s="15"/>
      <c r="E504" s="157"/>
      <c r="G504" s="157"/>
    </row>
    <row r="505" spans="1:7" x14ac:dyDescent="0.25">
      <c r="A505" s="15">
        <v>43472</v>
      </c>
      <c r="B505" s="16">
        <v>0.47249999999999998</v>
      </c>
      <c r="C505" s="157">
        <v>37.36</v>
      </c>
      <c r="D505" s="15"/>
      <c r="E505" s="157"/>
      <c r="G505" s="157"/>
    </row>
    <row r="506" spans="1:7" x14ac:dyDescent="0.25">
      <c r="A506" s="15">
        <v>43473</v>
      </c>
      <c r="B506" s="16">
        <v>0.47062500000000002</v>
      </c>
      <c r="C506" s="157">
        <v>37.369999999999997</v>
      </c>
      <c r="D506" s="15"/>
      <c r="E506" s="157"/>
      <c r="G506" s="157"/>
    </row>
    <row r="507" spans="1:7" x14ac:dyDescent="0.25">
      <c r="A507" s="15">
        <v>43474</v>
      </c>
      <c r="B507" s="16">
        <v>0.45937499999999998</v>
      </c>
      <c r="C507" s="157">
        <v>37.47</v>
      </c>
      <c r="D507" s="15"/>
      <c r="E507" s="157"/>
      <c r="G507" s="157"/>
    </row>
    <row r="508" spans="1:7" x14ac:dyDescent="0.25">
      <c r="A508" s="15">
        <v>43475</v>
      </c>
      <c r="B508" s="16">
        <v>0.46562500000000001</v>
      </c>
      <c r="C508" s="157">
        <v>37.31</v>
      </c>
      <c r="D508" s="15"/>
      <c r="E508" s="157"/>
      <c r="G508" s="157"/>
    </row>
    <row r="509" spans="1:7" x14ac:dyDescent="0.25">
      <c r="A509" s="15">
        <v>43476</v>
      </c>
      <c r="B509" s="16">
        <v>0.45624999999999999</v>
      </c>
      <c r="C509" s="157">
        <v>37.1</v>
      </c>
      <c r="D509" s="15"/>
      <c r="E509" s="157"/>
      <c r="G509" s="157"/>
    </row>
    <row r="510" spans="1:7" x14ac:dyDescent="0.25">
      <c r="A510" s="15">
        <v>43479</v>
      </c>
      <c r="B510" s="16">
        <v>0.45874999999999999</v>
      </c>
      <c r="C510" s="157">
        <v>37.1</v>
      </c>
      <c r="D510" s="15"/>
      <c r="E510" s="157"/>
      <c r="G510" s="157"/>
    </row>
    <row r="511" spans="1:7" x14ac:dyDescent="0.25">
      <c r="A511" s="15">
        <v>43480</v>
      </c>
      <c r="B511" s="16">
        <v>0.46500000000000002</v>
      </c>
      <c r="C511" s="157">
        <v>37.14</v>
      </c>
      <c r="D511" s="15"/>
      <c r="E511" s="157"/>
      <c r="G511" s="157"/>
    </row>
    <row r="512" spans="1:7" x14ac:dyDescent="0.25">
      <c r="A512" s="15">
        <v>43481</v>
      </c>
      <c r="B512" s="16">
        <v>0.45624999999999999</v>
      </c>
      <c r="C512" s="157">
        <v>37.36</v>
      </c>
      <c r="D512" s="15"/>
      <c r="E512" s="157"/>
      <c r="G512" s="157"/>
    </row>
    <row r="513" spans="1:7" x14ac:dyDescent="0.25">
      <c r="A513" s="15">
        <v>43482</v>
      </c>
      <c r="B513" s="16">
        <v>0.45750000000000002</v>
      </c>
      <c r="C513" s="157">
        <v>37.74</v>
      </c>
      <c r="D513" s="15"/>
      <c r="E513" s="157"/>
      <c r="G513" s="157"/>
    </row>
    <row r="514" spans="1:7" x14ac:dyDescent="0.25">
      <c r="A514" s="15">
        <v>43483</v>
      </c>
      <c r="B514" s="16">
        <v>0.46</v>
      </c>
      <c r="C514" s="157">
        <v>37.619999999999997</v>
      </c>
      <c r="D514" s="15"/>
      <c r="E514" s="157"/>
      <c r="G514" s="157"/>
    </row>
    <row r="515" spans="1:7" x14ac:dyDescent="0.25">
      <c r="A515" s="15">
        <v>43486</v>
      </c>
      <c r="B515" s="16">
        <v>0.45124999999999998</v>
      </c>
      <c r="C515" s="157">
        <v>37.71</v>
      </c>
      <c r="D515" s="15"/>
      <c r="E515" s="157"/>
      <c r="G515" s="157"/>
    </row>
    <row r="516" spans="1:7" x14ac:dyDescent="0.25">
      <c r="A516" s="15">
        <v>43487</v>
      </c>
      <c r="B516" s="16">
        <v>0.455625</v>
      </c>
      <c r="C516" s="157">
        <v>37.590000000000003</v>
      </c>
      <c r="D516" s="15"/>
      <c r="E516" s="157"/>
      <c r="G516" s="157"/>
    </row>
    <row r="517" spans="1:7" x14ac:dyDescent="0.25">
      <c r="A517" s="15">
        <v>43488</v>
      </c>
      <c r="B517" s="16">
        <v>0.458125</v>
      </c>
      <c r="C517" s="157">
        <v>37.56</v>
      </c>
      <c r="D517" s="15"/>
      <c r="E517" s="157"/>
      <c r="G517" s="157"/>
    </row>
    <row r="518" spans="1:7" x14ac:dyDescent="0.25">
      <c r="A518" s="15">
        <v>43489</v>
      </c>
      <c r="B518" s="16">
        <v>0.45374999999999999</v>
      </c>
      <c r="C518" s="157">
        <v>37.56</v>
      </c>
      <c r="D518" s="15"/>
      <c r="E518" s="157"/>
      <c r="G518" s="157"/>
    </row>
    <row r="519" spans="1:7" x14ac:dyDescent="0.25">
      <c r="A519" s="15">
        <v>43490</v>
      </c>
      <c r="B519" s="16">
        <v>0.44624999999999998</v>
      </c>
      <c r="C519" s="157">
        <v>37.14</v>
      </c>
      <c r="D519" s="15"/>
      <c r="E519" s="157"/>
      <c r="G519" s="157"/>
    </row>
    <row r="520" spans="1:7" x14ac:dyDescent="0.25">
      <c r="A520" s="15">
        <v>43493</v>
      </c>
      <c r="B520" s="16">
        <v>0.44500000000000001</v>
      </c>
      <c r="C520" s="157">
        <v>37.090000000000003</v>
      </c>
      <c r="D520" s="15"/>
      <c r="E520" s="157"/>
      <c r="G520" s="157"/>
    </row>
    <row r="521" spans="1:7" x14ac:dyDescent="0.25">
      <c r="A521" s="15">
        <v>43494</v>
      </c>
      <c r="B521" s="16">
        <v>0.44624999999999998</v>
      </c>
      <c r="C521" s="157">
        <v>37.229999999999997</v>
      </c>
      <c r="D521" s="15"/>
      <c r="E521" s="157"/>
      <c r="G521" s="157"/>
    </row>
    <row r="522" spans="1:7" x14ac:dyDescent="0.25">
      <c r="A522" s="15">
        <v>43495</v>
      </c>
      <c r="B522" s="16">
        <v>0.44062499999999999</v>
      </c>
      <c r="C522" s="157">
        <v>37.61</v>
      </c>
      <c r="D522" s="15"/>
      <c r="E522" s="157"/>
      <c r="G522" s="157"/>
    </row>
    <row r="523" spans="1:7" x14ac:dyDescent="0.25">
      <c r="A523" s="15">
        <v>43496</v>
      </c>
      <c r="B523" s="16">
        <v>0.44562499999999999</v>
      </c>
      <c r="C523" s="157">
        <v>37.04</v>
      </c>
      <c r="D523" s="15"/>
      <c r="E523" s="157"/>
      <c r="G523" s="157"/>
    </row>
    <row r="524" spans="1:7" x14ac:dyDescent="0.25">
      <c r="A524" s="15">
        <v>43497</v>
      </c>
      <c r="B524" s="16">
        <v>0.42562499999999998</v>
      </c>
      <c r="C524" s="157">
        <v>37.24</v>
      </c>
      <c r="D524" s="15"/>
      <c r="E524" s="157"/>
      <c r="G524" s="157"/>
    </row>
    <row r="525" spans="1:7" x14ac:dyDescent="0.25">
      <c r="A525" s="15">
        <v>43500</v>
      </c>
      <c r="B525" s="16">
        <v>0.42375000000000002</v>
      </c>
      <c r="C525" s="157">
        <v>37.24</v>
      </c>
      <c r="D525" s="15"/>
      <c r="E525" s="157"/>
      <c r="G525" s="157"/>
    </row>
    <row r="526" spans="1:7" x14ac:dyDescent="0.25">
      <c r="A526" s="15">
        <v>43501</v>
      </c>
      <c r="B526" s="16">
        <v>0.41437499999999999</v>
      </c>
      <c r="C526" s="157">
        <v>37.200000000000003</v>
      </c>
      <c r="D526" s="15"/>
      <c r="E526" s="157"/>
      <c r="G526" s="157"/>
    </row>
    <row r="527" spans="1:7" x14ac:dyDescent="0.25">
      <c r="A527" s="15">
        <v>43502</v>
      </c>
      <c r="B527" s="16">
        <v>0.40812500000000002</v>
      </c>
      <c r="C527" s="157">
        <v>37.43</v>
      </c>
      <c r="D527" s="15"/>
      <c r="E527" s="157"/>
      <c r="G527" s="157"/>
    </row>
    <row r="528" spans="1:7" x14ac:dyDescent="0.25">
      <c r="A528" s="15">
        <v>43503</v>
      </c>
      <c r="B528" s="16">
        <v>0.39437499999999998</v>
      </c>
      <c r="C528" s="157">
        <v>37.9</v>
      </c>
      <c r="D528" s="15"/>
      <c r="E528" s="157"/>
      <c r="G528" s="157"/>
    </row>
    <row r="529" spans="1:7" x14ac:dyDescent="0.25">
      <c r="A529" s="15">
        <v>43504</v>
      </c>
      <c r="B529" s="16">
        <v>0.38124999999999998</v>
      </c>
      <c r="C529" s="157">
        <v>37.86</v>
      </c>
      <c r="D529" s="15"/>
      <c r="E529" s="157"/>
      <c r="G529" s="157"/>
    </row>
    <row r="530" spans="1:7" x14ac:dyDescent="0.25">
      <c r="A530" s="15">
        <v>43507</v>
      </c>
      <c r="B530" s="16">
        <v>0.37375000000000003</v>
      </c>
      <c r="C530" s="157">
        <v>38.32</v>
      </c>
      <c r="D530" s="15"/>
      <c r="E530" s="157"/>
      <c r="G530" s="157"/>
    </row>
    <row r="531" spans="1:7" x14ac:dyDescent="0.25">
      <c r="A531" s="15">
        <v>43508</v>
      </c>
      <c r="B531" s="16">
        <v>0.36625000000000002</v>
      </c>
      <c r="C531" s="157">
        <v>37.82</v>
      </c>
      <c r="D531" s="15"/>
      <c r="E531" s="157"/>
      <c r="G531" s="157"/>
    </row>
    <row r="532" spans="1:7" x14ac:dyDescent="0.25">
      <c r="A532" s="15">
        <v>43509</v>
      </c>
      <c r="B532" s="16">
        <v>0.35875000000000001</v>
      </c>
      <c r="C532" s="157">
        <v>38.15</v>
      </c>
      <c r="D532" s="15"/>
      <c r="E532" s="157"/>
      <c r="G532" s="157"/>
    </row>
    <row r="533" spans="1:7" x14ac:dyDescent="0.25">
      <c r="A533" s="15">
        <v>43510</v>
      </c>
      <c r="B533" s="16">
        <v>0.36062499999999997</v>
      </c>
      <c r="C533" s="157">
        <v>38.369999999999997</v>
      </c>
      <c r="D533" s="15"/>
      <c r="E533" s="157"/>
      <c r="G533" s="157"/>
    </row>
    <row r="534" spans="1:7" x14ac:dyDescent="0.25">
      <c r="A534" s="15">
        <v>43511</v>
      </c>
      <c r="B534" s="16">
        <v>0.35375000000000001</v>
      </c>
      <c r="C534" s="157">
        <v>38.33</v>
      </c>
      <c r="D534" s="15"/>
      <c r="E534" s="157"/>
      <c r="G534" s="157"/>
    </row>
    <row r="535" spans="1:7" x14ac:dyDescent="0.25">
      <c r="A535" s="15">
        <v>43514</v>
      </c>
      <c r="B535" s="16">
        <v>0.35249999999999998</v>
      </c>
      <c r="C535" s="157">
        <v>38.770000000000003</v>
      </c>
      <c r="D535" s="15"/>
      <c r="E535" s="157"/>
      <c r="G535" s="157"/>
    </row>
    <row r="536" spans="1:7" x14ac:dyDescent="0.25">
      <c r="A536" s="15">
        <v>43515</v>
      </c>
      <c r="B536" s="16">
        <v>0.35375000000000001</v>
      </c>
      <c r="C536" s="157">
        <v>38.92</v>
      </c>
      <c r="D536" s="15"/>
      <c r="E536" s="157"/>
      <c r="G536" s="157"/>
    </row>
    <row r="537" spans="1:7" x14ac:dyDescent="0.25">
      <c r="A537" s="15">
        <v>43516</v>
      </c>
      <c r="B537" s="16">
        <v>0.35187499999999999</v>
      </c>
      <c r="C537" s="157">
        <v>40.04</v>
      </c>
      <c r="D537" s="15"/>
      <c r="E537" s="157"/>
      <c r="G537" s="157"/>
    </row>
    <row r="538" spans="1:7" x14ac:dyDescent="0.25">
      <c r="A538" s="15">
        <v>43517</v>
      </c>
      <c r="B538" s="16">
        <v>0.359375</v>
      </c>
      <c r="C538" s="157">
        <v>39.659999999999997</v>
      </c>
      <c r="D538" s="15"/>
      <c r="E538" s="157"/>
      <c r="G538" s="157"/>
    </row>
    <row r="539" spans="1:7" x14ac:dyDescent="0.25">
      <c r="A539" s="15">
        <v>43518</v>
      </c>
      <c r="B539" s="16">
        <v>0.36562499999999998</v>
      </c>
      <c r="C539" s="157">
        <v>39.25</v>
      </c>
      <c r="D539" s="15"/>
      <c r="E539" s="157"/>
      <c r="G539" s="157"/>
    </row>
    <row r="540" spans="1:7" x14ac:dyDescent="0.25">
      <c r="A540" s="15">
        <v>43521</v>
      </c>
      <c r="B540" s="16">
        <v>0.36</v>
      </c>
      <c r="C540" s="157">
        <v>38.96</v>
      </c>
      <c r="D540" s="15"/>
      <c r="E540" s="157"/>
      <c r="G540" s="157"/>
    </row>
    <row r="541" spans="1:7" x14ac:dyDescent="0.25">
      <c r="A541" s="15">
        <v>43522</v>
      </c>
      <c r="B541" s="16">
        <v>0.37375000000000003</v>
      </c>
      <c r="C541" s="157">
        <v>38.99</v>
      </c>
      <c r="D541" s="15"/>
      <c r="E541" s="157"/>
      <c r="G541" s="157"/>
    </row>
    <row r="542" spans="1:7" x14ac:dyDescent="0.25">
      <c r="A542" s="15">
        <v>43523</v>
      </c>
      <c r="B542" s="16">
        <v>0.36812499999999998</v>
      </c>
      <c r="C542" s="157">
        <v>38.75</v>
      </c>
      <c r="D542" s="15"/>
      <c r="E542" s="157"/>
      <c r="G542" s="157"/>
    </row>
    <row r="543" spans="1:7" x14ac:dyDescent="0.25">
      <c r="A543" s="15">
        <v>43524</v>
      </c>
      <c r="B543" s="16">
        <v>0.37125000000000002</v>
      </c>
      <c r="C543" s="157">
        <v>39</v>
      </c>
      <c r="D543" s="15"/>
      <c r="E543" s="157"/>
      <c r="G543" s="157"/>
    </row>
    <row r="544" spans="1:7" x14ac:dyDescent="0.25">
      <c r="A544" s="15">
        <v>43525</v>
      </c>
      <c r="B544" s="16">
        <v>0.36625000000000002</v>
      </c>
      <c r="C544" s="157">
        <v>39.450000000000003</v>
      </c>
      <c r="D544" s="15"/>
      <c r="E544" s="157"/>
      <c r="G544" s="157"/>
    </row>
    <row r="545" spans="1:7" x14ac:dyDescent="0.25">
      <c r="A545" s="15">
        <v>43530</v>
      </c>
      <c r="B545" s="16">
        <v>0.36562499999999998</v>
      </c>
      <c r="C545" s="157">
        <v>40.479999999999997</v>
      </c>
      <c r="D545" s="15"/>
      <c r="E545" s="157"/>
      <c r="G545" s="157"/>
    </row>
    <row r="546" spans="1:7" x14ac:dyDescent="0.25">
      <c r="A546" s="15">
        <v>43531</v>
      </c>
      <c r="B546" s="16">
        <v>0.37312499999999998</v>
      </c>
      <c r="C546" s="157">
        <v>41.23</v>
      </c>
      <c r="D546" s="15"/>
      <c r="E546" s="157"/>
      <c r="G546" s="157"/>
    </row>
    <row r="547" spans="1:7" x14ac:dyDescent="0.25">
      <c r="A547" s="15">
        <v>43532</v>
      </c>
      <c r="B547" s="16">
        <v>0.39124999999999999</v>
      </c>
      <c r="C547" s="157">
        <v>41.3</v>
      </c>
      <c r="D547" s="15"/>
      <c r="E547" s="157"/>
      <c r="G547" s="157"/>
    </row>
    <row r="548" spans="1:7" x14ac:dyDescent="0.25">
      <c r="A548" s="15">
        <v>43533</v>
      </c>
      <c r="B548" s="16">
        <v>0.39124999999999999</v>
      </c>
      <c r="C548" s="157">
        <v>41.23</v>
      </c>
      <c r="D548" s="15"/>
      <c r="E548" s="157"/>
      <c r="G548" s="157"/>
    </row>
    <row r="549" spans="1:7" x14ac:dyDescent="0.25">
      <c r="A549" s="15">
        <v>43534</v>
      </c>
      <c r="B549" s="16">
        <v>0.39124999999999999</v>
      </c>
      <c r="C549" s="157">
        <v>41.23</v>
      </c>
      <c r="D549" s="15"/>
      <c r="E549" s="157"/>
      <c r="G549" s="157"/>
    </row>
    <row r="550" spans="1:7" x14ac:dyDescent="0.25">
      <c r="A550" s="15">
        <v>43535</v>
      </c>
      <c r="B550" s="16">
        <v>0.395625</v>
      </c>
      <c r="C550" s="157">
        <v>40.869999999999997</v>
      </c>
      <c r="D550" s="15"/>
      <c r="E550" s="157"/>
      <c r="G550" s="157"/>
    </row>
    <row r="551" spans="1:7" x14ac:dyDescent="0.25">
      <c r="A551" s="15">
        <v>43536</v>
      </c>
      <c r="B551" s="16">
        <v>0.40812500000000002</v>
      </c>
      <c r="C551" s="157">
        <v>41.35</v>
      </c>
      <c r="D551" s="15"/>
      <c r="E551" s="157"/>
      <c r="G551" s="157"/>
    </row>
    <row r="552" spans="1:7" x14ac:dyDescent="0.25">
      <c r="A552" s="15">
        <v>43537</v>
      </c>
      <c r="B552" s="16">
        <v>0.40749999999999997</v>
      </c>
      <c r="C552" s="157">
        <v>41.65</v>
      </c>
      <c r="D552" s="15"/>
      <c r="E552" s="157"/>
      <c r="G552" s="157"/>
    </row>
    <row r="553" spans="1:7" x14ac:dyDescent="0.25">
      <c r="A553" s="15">
        <v>43538</v>
      </c>
      <c r="B553" s="16">
        <v>0.41312500000000002</v>
      </c>
      <c r="C553" s="157">
        <v>40.98</v>
      </c>
      <c r="D553" s="15"/>
      <c r="E553" s="157"/>
      <c r="G553" s="157"/>
    </row>
    <row r="554" spans="1:7" x14ac:dyDescent="0.25">
      <c r="A554" s="15">
        <v>43539</v>
      </c>
      <c r="B554" s="16">
        <v>0.435</v>
      </c>
      <c r="C554" s="157">
        <v>39.94</v>
      </c>
      <c r="D554" s="15"/>
      <c r="E554" s="157"/>
      <c r="G554" s="157"/>
    </row>
    <row r="555" spans="1:7" x14ac:dyDescent="0.25">
      <c r="A555" s="15">
        <v>43540</v>
      </c>
      <c r="B555" s="16">
        <v>0.435</v>
      </c>
      <c r="C555" s="157">
        <v>39.94</v>
      </c>
      <c r="D555" s="15"/>
      <c r="E555" s="157"/>
      <c r="G555" s="157"/>
    </row>
    <row r="556" spans="1:7" x14ac:dyDescent="0.25">
      <c r="A556" s="15">
        <v>43541</v>
      </c>
      <c r="B556" s="16">
        <v>0.435</v>
      </c>
      <c r="C556" s="157">
        <v>39.94</v>
      </c>
      <c r="D556" s="15"/>
      <c r="E556" s="157"/>
      <c r="G556" s="157"/>
    </row>
    <row r="557" spans="1:7" x14ac:dyDescent="0.25">
      <c r="A557" s="15">
        <v>43542</v>
      </c>
      <c r="B557" s="16">
        <v>0.42249999999999999</v>
      </c>
      <c r="C557" s="157">
        <v>39.71</v>
      </c>
      <c r="D557" s="15"/>
      <c r="E557" s="157"/>
      <c r="G557" s="157"/>
    </row>
    <row r="558" spans="1:7" x14ac:dyDescent="0.25">
      <c r="A558" s="15">
        <v>43543</v>
      </c>
      <c r="B558" s="16">
        <v>0.43125000000000002</v>
      </c>
      <c r="C558" s="157">
        <v>40.33</v>
      </c>
      <c r="D558" s="15"/>
      <c r="E558" s="157"/>
      <c r="G558" s="157"/>
    </row>
    <row r="559" spans="1:7" x14ac:dyDescent="0.25">
      <c r="A559" s="15">
        <v>43544</v>
      </c>
      <c r="B559" s="16">
        <v>0.42062500000000003</v>
      </c>
      <c r="C559" s="157">
        <v>41.08</v>
      </c>
      <c r="D559" s="15"/>
      <c r="E559" s="157"/>
      <c r="G559" s="157"/>
    </row>
    <row r="560" spans="1:7" x14ac:dyDescent="0.25">
      <c r="A560" s="15">
        <v>43545</v>
      </c>
      <c r="B560" s="16">
        <v>0.4325</v>
      </c>
      <c r="C560" s="157">
        <v>40.74</v>
      </c>
      <c r="D560" s="15"/>
      <c r="E560" s="157"/>
      <c r="G560" s="157"/>
    </row>
    <row r="561" spans="1:7" x14ac:dyDescent="0.25">
      <c r="A561" s="15">
        <v>43546</v>
      </c>
      <c r="B561" s="16">
        <v>0.43</v>
      </c>
      <c r="C561" s="157">
        <v>42.01</v>
      </c>
      <c r="D561" s="15"/>
      <c r="E561" s="157"/>
      <c r="G561" s="157"/>
    </row>
    <row r="562" spans="1:7" x14ac:dyDescent="0.25">
      <c r="A562" s="15">
        <v>43549</v>
      </c>
      <c r="B562" s="16">
        <v>0.44187500000000002</v>
      </c>
      <c r="C562" s="157">
        <v>41.79</v>
      </c>
      <c r="D562" s="15"/>
      <c r="E562" s="157"/>
      <c r="G562" s="157"/>
    </row>
    <row r="563" spans="1:7" x14ac:dyDescent="0.25">
      <c r="A563" s="15">
        <v>43550</v>
      </c>
      <c r="B563" s="16">
        <v>0.44124999999999998</v>
      </c>
      <c r="C563" s="157">
        <v>42.35</v>
      </c>
      <c r="D563" s="15"/>
      <c r="E563" s="157"/>
      <c r="G563" s="157"/>
    </row>
    <row r="564" spans="1:7" x14ac:dyDescent="0.25">
      <c r="A564" s="15">
        <v>43551</v>
      </c>
      <c r="B564" s="16">
        <v>0.4325</v>
      </c>
      <c r="C564" s="157">
        <v>43.7</v>
      </c>
      <c r="D564" s="15"/>
      <c r="E564" s="157"/>
      <c r="G564" s="157"/>
    </row>
    <row r="565" spans="1:7" x14ac:dyDescent="0.25">
      <c r="A565" s="15">
        <v>43552</v>
      </c>
      <c r="B565" s="16">
        <v>0.453125</v>
      </c>
      <c r="C565" s="157">
        <v>43.59</v>
      </c>
      <c r="D565" s="15"/>
      <c r="E565" s="157"/>
      <c r="G565" s="157"/>
    </row>
    <row r="566" spans="1:7" x14ac:dyDescent="0.25">
      <c r="A566" s="15">
        <v>43553</v>
      </c>
      <c r="B566" s="16">
        <v>0.45687499999999998</v>
      </c>
      <c r="C566" s="157">
        <v>43.35</v>
      </c>
      <c r="D566" s="15"/>
      <c r="E566" s="157"/>
      <c r="G566" s="157"/>
    </row>
    <row r="567" spans="1:7" x14ac:dyDescent="0.25">
      <c r="A567" s="15">
        <v>43556</v>
      </c>
      <c r="B567" s="16">
        <v>0.46124999999999999</v>
      </c>
      <c r="C567" s="157">
        <v>42.82</v>
      </c>
      <c r="D567" s="15"/>
      <c r="E567" s="157"/>
      <c r="G567" s="157"/>
    </row>
    <row r="568" spans="1:7" x14ac:dyDescent="0.25">
      <c r="A568" s="15">
        <v>43558</v>
      </c>
      <c r="B568" s="16">
        <v>0.48499999999999999</v>
      </c>
      <c r="C568" s="157">
        <v>42.65</v>
      </c>
      <c r="D568" s="15"/>
      <c r="E568" s="157"/>
      <c r="G568" s="157"/>
    </row>
    <row r="569" spans="1:7" x14ac:dyDescent="0.25">
      <c r="A569" s="15">
        <v>43559</v>
      </c>
      <c r="B569" s="16">
        <v>0.48499999999999999</v>
      </c>
      <c r="C569" s="157">
        <v>43.25</v>
      </c>
      <c r="D569" s="15"/>
      <c r="E569" s="157"/>
      <c r="G569" s="157"/>
    </row>
    <row r="570" spans="1:7" x14ac:dyDescent="0.25">
      <c r="A570" s="15">
        <v>43560</v>
      </c>
      <c r="B570" s="16">
        <v>0.47249999999999998</v>
      </c>
      <c r="C570" s="157">
        <v>43.69</v>
      </c>
      <c r="D570" s="15"/>
      <c r="E570" s="157"/>
      <c r="G570" s="157"/>
    </row>
    <row r="571" spans="1:7" x14ac:dyDescent="0.25">
      <c r="A571" s="15">
        <v>43563</v>
      </c>
      <c r="B571" s="16">
        <v>0.47687499999999999</v>
      </c>
      <c r="C571" s="157">
        <v>43.8</v>
      </c>
      <c r="D571" s="15"/>
      <c r="E571" s="157"/>
      <c r="G571" s="157"/>
    </row>
    <row r="572" spans="1:7" x14ac:dyDescent="0.25">
      <c r="A572" s="15">
        <v>43564</v>
      </c>
      <c r="B572" s="16">
        <v>0.48812499999999998</v>
      </c>
      <c r="C572" s="157">
        <v>43.74</v>
      </c>
      <c r="D572" s="15"/>
      <c r="E572" s="157"/>
      <c r="G572" s="157"/>
    </row>
    <row r="573" spans="1:7" x14ac:dyDescent="0.25">
      <c r="A573" s="15">
        <v>43565</v>
      </c>
      <c r="B573" s="16">
        <v>0.47812500000000002</v>
      </c>
      <c r="C573" s="157">
        <v>43.04</v>
      </c>
      <c r="D573" s="15"/>
      <c r="E573" s="157"/>
      <c r="G573" s="157"/>
    </row>
    <row r="574" spans="1:7" x14ac:dyDescent="0.25">
      <c r="A574" s="15">
        <v>43566</v>
      </c>
      <c r="B574" s="16">
        <v>0.48812499999999998</v>
      </c>
      <c r="C574" s="157">
        <v>42.91</v>
      </c>
      <c r="D574" s="15"/>
      <c r="E574" s="157"/>
      <c r="G574" s="157"/>
    </row>
    <row r="575" spans="1:7" x14ac:dyDescent="0.25">
      <c r="A575" s="15">
        <v>43567</v>
      </c>
      <c r="B575" s="16">
        <v>0.48125000000000001</v>
      </c>
      <c r="C575" s="157">
        <v>42.33</v>
      </c>
      <c r="D575" s="15"/>
      <c r="E575" s="157"/>
      <c r="G575" s="157"/>
    </row>
    <row r="576" spans="1:7" x14ac:dyDescent="0.25">
      <c r="A576" s="15">
        <v>43570</v>
      </c>
      <c r="B576" s="16">
        <v>0.48312500000000003</v>
      </c>
      <c r="C576" s="157">
        <v>41.56</v>
      </c>
      <c r="D576" s="15"/>
      <c r="E576" s="157"/>
      <c r="G576" s="157"/>
    </row>
    <row r="577" spans="1:7" x14ac:dyDescent="0.25">
      <c r="A577" s="15">
        <v>43571</v>
      </c>
      <c r="B577" s="16">
        <v>0.49125000000000002</v>
      </c>
      <c r="C577" s="157">
        <v>42.11</v>
      </c>
      <c r="D577" s="15"/>
      <c r="E577" s="157"/>
      <c r="G577" s="157"/>
    </row>
    <row r="578" spans="1:7" x14ac:dyDescent="0.25">
      <c r="A578" s="15">
        <v>43572</v>
      </c>
      <c r="B578" s="16">
        <v>0.48125000000000001</v>
      </c>
      <c r="C578" s="157">
        <v>41.78</v>
      </c>
      <c r="D578" s="15"/>
      <c r="E578" s="157"/>
      <c r="G578" s="157"/>
    </row>
    <row r="579" spans="1:7" x14ac:dyDescent="0.25">
      <c r="A579" s="15">
        <v>43573</v>
      </c>
      <c r="B579" s="16">
        <v>0.48125000000000001</v>
      </c>
      <c r="C579" s="157">
        <v>41.78</v>
      </c>
      <c r="D579" s="15"/>
      <c r="E579" s="157"/>
      <c r="G579" s="157"/>
    </row>
    <row r="580" spans="1:7" x14ac:dyDescent="0.25">
      <c r="A580" s="15">
        <v>43574</v>
      </c>
      <c r="B580" s="16">
        <v>0.48125000000000001</v>
      </c>
      <c r="C580" s="157">
        <v>41.78</v>
      </c>
      <c r="D580" s="15"/>
      <c r="E580" s="157"/>
      <c r="G580" s="157"/>
    </row>
    <row r="581" spans="1:7" x14ac:dyDescent="0.25">
      <c r="A581" s="15">
        <v>43575</v>
      </c>
      <c r="B581" s="16">
        <v>0.48125000000000001</v>
      </c>
      <c r="C581" s="157">
        <v>41.78</v>
      </c>
      <c r="D581" s="15"/>
      <c r="E581" s="157"/>
      <c r="G581" s="157"/>
    </row>
    <row r="582" spans="1:7" x14ac:dyDescent="0.25">
      <c r="A582" s="15">
        <v>43576</v>
      </c>
      <c r="B582" s="16">
        <v>0.48125000000000001</v>
      </c>
      <c r="C582" s="157">
        <v>41.78</v>
      </c>
      <c r="D582" s="15"/>
      <c r="E582" s="157"/>
      <c r="G582" s="157"/>
    </row>
    <row r="583" spans="1:7" x14ac:dyDescent="0.25">
      <c r="A583" s="15">
        <v>43577</v>
      </c>
      <c r="B583" s="16">
        <v>0.48125000000000001</v>
      </c>
      <c r="C583" s="157">
        <v>42.69</v>
      </c>
      <c r="D583" s="15"/>
      <c r="E583" s="157"/>
      <c r="G583" s="157"/>
    </row>
    <row r="584" spans="1:7" x14ac:dyDescent="0.25">
      <c r="A584" s="15">
        <v>43578</v>
      </c>
      <c r="B584" s="16">
        <v>0.49562499999999998</v>
      </c>
      <c r="C584" s="157">
        <v>42.38</v>
      </c>
      <c r="D584" s="15"/>
      <c r="E584" s="157"/>
      <c r="G584" s="157"/>
    </row>
    <row r="585" spans="1:7" x14ac:dyDescent="0.25">
      <c r="A585" s="15">
        <v>43579</v>
      </c>
      <c r="B585" s="16">
        <v>0.48625000000000002</v>
      </c>
      <c r="C585" s="157">
        <v>43.48</v>
      </c>
      <c r="D585" s="15"/>
      <c r="E585" s="157"/>
      <c r="G585" s="157"/>
    </row>
    <row r="586" spans="1:7" x14ac:dyDescent="0.25">
      <c r="A586" s="15">
        <v>43580</v>
      </c>
      <c r="B586" s="16">
        <v>0.49312499999999998</v>
      </c>
      <c r="C586" s="157">
        <v>45.63</v>
      </c>
      <c r="D586" s="15"/>
      <c r="E586" s="157"/>
      <c r="G586" s="157"/>
    </row>
    <row r="587" spans="1:7" x14ac:dyDescent="0.25">
      <c r="A587" s="15">
        <v>43581</v>
      </c>
      <c r="B587" s="16">
        <v>0.49249999999999999</v>
      </c>
      <c r="C587" s="157">
        <v>44.88</v>
      </c>
      <c r="D587" s="15"/>
      <c r="E587" s="157"/>
      <c r="G587" s="157"/>
    </row>
    <row r="588" spans="1:7" x14ac:dyDescent="0.25">
      <c r="A588" s="15">
        <v>43584</v>
      </c>
      <c r="B588" s="16">
        <v>0.5</v>
      </c>
      <c r="C588" s="157">
        <v>44.67</v>
      </c>
      <c r="D588" s="15"/>
      <c r="E588" s="157"/>
      <c r="G588" s="157"/>
    </row>
    <row r="589" spans="1:7" x14ac:dyDescent="0.25">
      <c r="A589" s="15">
        <v>43585</v>
      </c>
      <c r="B589" s="16">
        <v>0.53374999999999995</v>
      </c>
      <c r="C589" s="157">
        <v>44.01</v>
      </c>
      <c r="D589" s="15"/>
      <c r="E589" s="157"/>
      <c r="G589" s="157"/>
    </row>
    <row r="590" spans="1:7" x14ac:dyDescent="0.25">
      <c r="A590" s="15">
        <v>43587</v>
      </c>
      <c r="B590" s="16">
        <v>0.50375000000000003</v>
      </c>
      <c r="C590" s="157">
        <v>44.75</v>
      </c>
      <c r="D590" s="15"/>
      <c r="E590" s="157"/>
      <c r="G590" s="157"/>
    </row>
    <row r="591" spans="1:7" x14ac:dyDescent="0.25">
      <c r="A591" s="15">
        <v>43588</v>
      </c>
      <c r="B591" s="16">
        <v>0.52124999999999999</v>
      </c>
      <c r="C591" s="157">
        <v>44.42</v>
      </c>
      <c r="D591" s="15"/>
      <c r="E591" s="157"/>
      <c r="G591" s="157"/>
    </row>
    <row r="592" spans="1:7" x14ac:dyDescent="0.25">
      <c r="A592" s="15">
        <v>43591</v>
      </c>
      <c r="B592" s="16">
        <v>0.52</v>
      </c>
      <c r="C592" s="157">
        <v>44.9</v>
      </c>
      <c r="D592" s="15"/>
      <c r="E592" s="157"/>
      <c r="G592" s="157"/>
    </row>
    <row r="593" spans="1:7" x14ac:dyDescent="0.25">
      <c r="A593" s="15">
        <v>43592</v>
      </c>
      <c r="B593" s="16">
        <v>0.53312499999999996</v>
      </c>
      <c r="C593" s="157">
        <v>44.9</v>
      </c>
      <c r="D593" s="15"/>
      <c r="E593" s="157"/>
      <c r="G593" s="157"/>
    </row>
    <row r="594" spans="1:7" x14ac:dyDescent="0.25">
      <c r="A594" s="15">
        <v>43593</v>
      </c>
      <c r="B594" s="16">
        <v>0.52</v>
      </c>
      <c r="C594" s="157">
        <v>45.04</v>
      </c>
      <c r="D594" s="15"/>
      <c r="E594" s="157"/>
      <c r="G594" s="157"/>
    </row>
    <row r="595" spans="1:7" x14ac:dyDescent="0.25">
      <c r="A595" s="15">
        <v>43594</v>
      </c>
      <c r="B595" s="16">
        <v>0.52500000000000002</v>
      </c>
      <c r="C595" s="157">
        <v>45.57</v>
      </c>
      <c r="D595" s="15"/>
      <c r="E595" s="157"/>
      <c r="G595" s="157"/>
    </row>
    <row r="596" spans="1:7" x14ac:dyDescent="0.25">
      <c r="A596" s="15">
        <v>43595</v>
      </c>
      <c r="B596" s="16">
        <v>0.51875000000000004</v>
      </c>
      <c r="C596" s="157">
        <v>44.98</v>
      </c>
      <c r="D596" s="15"/>
      <c r="E596" s="157"/>
      <c r="G596" s="157"/>
    </row>
    <row r="597" spans="1:7" x14ac:dyDescent="0.25">
      <c r="A597" s="15">
        <v>43598</v>
      </c>
      <c r="B597" s="16">
        <v>0.52562500000000001</v>
      </c>
      <c r="C597" s="157">
        <v>45.41</v>
      </c>
      <c r="D597" s="15"/>
      <c r="E597" s="157"/>
      <c r="G597" s="157"/>
    </row>
    <row r="598" spans="1:7" x14ac:dyDescent="0.25">
      <c r="A598" s="15">
        <v>43599</v>
      </c>
      <c r="B598" s="16">
        <v>0.53562500000000002</v>
      </c>
      <c r="C598" s="157">
        <v>44.99</v>
      </c>
      <c r="D598" s="15"/>
      <c r="E598" s="157"/>
      <c r="G598" s="157"/>
    </row>
    <row r="599" spans="1:7" x14ac:dyDescent="0.25">
      <c r="A599" s="15">
        <v>43600</v>
      </c>
      <c r="B599" s="16">
        <v>0.52625</v>
      </c>
      <c r="C599" s="157">
        <v>45.15</v>
      </c>
      <c r="D599" s="15"/>
      <c r="E599" s="157"/>
      <c r="G599" s="157"/>
    </row>
    <row r="600" spans="1:7" x14ac:dyDescent="0.25">
      <c r="A600" s="15">
        <v>43601</v>
      </c>
      <c r="B600" s="16">
        <v>0.52187499999999998</v>
      </c>
      <c r="C600" s="157">
        <v>44.86</v>
      </c>
      <c r="D600" s="15"/>
      <c r="E600" s="157"/>
      <c r="G600" s="157"/>
    </row>
    <row r="601" spans="1:7" x14ac:dyDescent="0.25">
      <c r="A601" s="15">
        <v>43602</v>
      </c>
      <c r="B601" s="16">
        <v>0.51937500000000003</v>
      </c>
      <c r="C601" s="157">
        <v>45.02</v>
      </c>
      <c r="D601" s="15"/>
      <c r="E601" s="157"/>
      <c r="G601" s="157"/>
    </row>
    <row r="602" spans="1:7" x14ac:dyDescent="0.25">
      <c r="A602" s="15">
        <v>43605</v>
      </c>
      <c r="B602" s="16">
        <v>0.53687499999999999</v>
      </c>
      <c r="C602" s="157">
        <v>45.32</v>
      </c>
      <c r="D602" s="15"/>
      <c r="E602" s="157"/>
      <c r="G602" s="157"/>
    </row>
    <row r="603" spans="1:7" x14ac:dyDescent="0.25">
      <c r="A603" s="15">
        <v>43606</v>
      </c>
      <c r="B603" s="16">
        <v>0.53687499999999999</v>
      </c>
      <c r="C603" s="157">
        <v>44.82</v>
      </c>
      <c r="D603" s="15"/>
      <c r="E603" s="157"/>
      <c r="G603" s="157"/>
    </row>
    <row r="604" spans="1:7" x14ac:dyDescent="0.25">
      <c r="A604" s="15">
        <v>43607</v>
      </c>
      <c r="B604" s="16">
        <v>0.52312499999999995</v>
      </c>
      <c r="C604" s="157">
        <v>44.72</v>
      </c>
      <c r="D604" s="15"/>
      <c r="E604" s="157"/>
      <c r="G604" s="157"/>
    </row>
    <row r="605" spans="1:7" x14ac:dyDescent="0.25">
      <c r="A605" s="15">
        <v>43608</v>
      </c>
      <c r="B605" s="16">
        <v>0.53437500000000004</v>
      </c>
      <c r="C605" s="157">
        <v>45.15</v>
      </c>
      <c r="D605" s="15"/>
      <c r="E605" s="157"/>
      <c r="G605" s="157"/>
    </row>
    <row r="606" spans="1:7" x14ac:dyDescent="0.25">
      <c r="A606" s="15">
        <v>43609</v>
      </c>
      <c r="B606" s="16">
        <v>0.53</v>
      </c>
      <c r="C606" s="157">
        <v>44.96</v>
      </c>
      <c r="D606" s="15"/>
      <c r="E606" s="157"/>
      <c r="G606" s="157"/>
    </row>
    <row r="607" spans="1:7" x14ac:dyDescent="0.25">
      <c r="A607" s="15">
        <v>43612</v>
      </c>
      <c r="B607" s="16">
        <v>0.52625</v>
      </c>
      <c r="C607" s="157">
        <v>44.98</v>
      </c>
      <c r="D607" s="15"/>
      <c r="E607" s="157"/>
      <c r="G607" s="157"/>
    </row>
    <row r="608" spans="1:7" x14ac:dyDescent="0.25">
      <c r="A608" s="15">
        <v>43613</v>
      </c>
      <c r="B608" s="16">
        <v>0.52625</v>
      </c>
      <c r="C608" s="157">
        <v>44.79</v>
      </c>
      <c r="D608" s="15"/>
      <c r="E608" s="157"/>
      <c r="G608" s="157"/>
    </row>
    <row r="609" spans="1:7" x14ac:dyDescent="0.25">
      <c r="A609" s="15">
        <v>43614</v>
      </c>
      <c r="B609" s="16">
        <v>0.52812499999999996</v>
      </c>
      <c r="C609" s="157">
        <v>44.5</v>
      </c>
      <c r="D609" s="15"/>
      <c r="E609" s="157"/>
      <c r="G609" s="157"/>
    </row>
    <row r="610" spans="1:7" x14ac:dyDescent="0.25">
      <c r="A610" s="15">
        <v>43615</v>
      </c>
      <c r="B610" s="16">
        <v>0.52687499999999998</v>
      </c>
      <c r="C610" s="157">
        <v>44.45</v>
      </c>
      <c r="D610" s="15"/>
      <c r="E610" s="157"/>
      <c r="G610" s="157"/>
    </row>
    <row r="611" spans="1:7" x14ac:dyDescent="0.25">
      <c r="A611" s="15">
        <v>43616</v>
      </c>
      <c r="B611" s="16">
        <v>0.53</v>
      </c>
      <c r="C611" s="157">
        <v>44.87</v>
      </c>
      <c r="D611" s="15"/>
      <c r="E611" s="157"/>
      <c r="G611" s="157"/>
    </row>
    <row r="612" spans="1:7" x14ac:dyDescent="0.25">
      <c r="A612" s="15">
        <v>43619</v>
      </c>
      <c r="B612" s="16">
        <v>0.52937500000000004</v>
      </c>
      <c r="C612" s="157">
        <v>44.87</v>
      </c>
      <c r="D612" s="15"/>
      <c r="E612" s="157"/>
      <c r="G612" s="157"/>
    </row>
    <row r="613" spans="1:7" x14ac:dyDescent="0.25">
      <c r="A613" s="15">
        <v>43620</v>
      </c>
      <c r="B613" s="16">
        <v>0.53312499999999996</v>
      </c>
      <c r="C613" s="157">
        <v>44.76</v>
      </c>
      <c r="D613" s="15"/>
      <c r="E613" s="157"/>
      <c r="G613" s="157"/>
    </row>
    <row r="614" spans="1:7" x14ac:dyDescent="0.25">
      <c r="A614" s="15">
        <v>43621</v>
      </c>
      <c r="B614" s="16">
        <v>0.52687499999999998</v>
      </c>
      <c r="C614" s="157">
        <v>44.8</v>
      </c>
      <c r="D614" s="15"/>
      <c r="E614" s="157"/>
      <c r="G614" s="157"/>
    </row>
    <row r="615" spans="1:7" x14ac:dyDescent="0.25">
      <c r="A615" s="15">
        <v>43622</v>
      </c>
      <c r="B615" s="16">
        <v>0.52937500000000004</v>
      </c>
      <c r="C615" s="157">
        <v>44.98</v>
      </c>
      <c r="D615" s="15"/>
      <c r="E615" s="157"/>
      <c r="G615" s="157"/>
    </row>
    <row r="616" spans="1:7" x14ac:dyDescent="0.25">
      <c r="A616" s="15">
        <v>43623</v>
      </c>
      <c r="B616" s="16">
        <v>0.52687499999999998</v>
      </c>
      <c r="C616" s="157">
        <v>44.88</v>
      </c>
      <c r="D616" s="15"/>
      <c r="E616" s="157"/>
      <c r="G616" s="157"/>
    </row>
    <row r="617" spans="1:7" x14ac:dyDescent="0.25">
      <c r="A617" s="15">
        <v>43626</v>
      </c>
      <c r="B617" s="16">
        <v>0.52124999999999999</v>
      </c>
      <c r="C617" s="157">
        <v>44.97</v>
      </c>
      <c r="D617" s="15"/>
      <c r="E617" s="157"/>
      <c r="G617" s="157"/>
    </row>
    <row r="618" spans="1:7" x14ac:dyDescent="0.25">
      <c r="A618" s="15">
        <v>43627</v>
      </c>
      <c r="B618" s="16">
        <v>0.52312499999999995</v>
      </c>
      <c r="C618" s="157">
        <v>44.74</v>
      </c>
      <c r="D618" s="15"/>
      <c r="E618" s="157"/>
      <c r="G618" s="157"/>
    </row>
    <row r="619" spans="1:7" x14ac:dyDescent="0.25">
      <c r="A619" s="15">
        <v>43628</v>
      </c>
      <c r="B619" s="16">
        <v>0.51812499999999995</v>
      </c>
      <c r="C619" s="157">
        <v>43.75</v>
      </c>
      <c r="D619" s="15"/>
      <c r="E619" s="157"/>
      <c r="G619" s="157"/>
    </row>
    <row r="620" spans="1:7" x14ac:dyDescent="0.25">
      <c r="A620" s="15">
        <v>43629</v>
      </c>
      <c r="B620" s="16">
        <v>0.51312500000000005</v>
      </c>
      <c r="C620" s="157">
        <v>43.59</v>
      </c>
      <c r="D620" s="15"/>
      <c r="E620" s="157"/>
      <c r="G620" s="157"/>
    </row>
    <row r="621" spans="1:7" x14ac:dyDescent="0.25">
      <c r="A621" s="15">
        <v>43630</v>
      </c>
      <c r="B621" s="16">
        <v>0.510625</v>
      </c>
      <c r="C621" s="157">
        <v>43.87</v>
      </c>
      <c r="D621" s="15"/>
      <c r="E621" s="157"/>
      <c r="G621" s="157"/>
    </row>
    <row r="622" spans="1:7" x14ac:dyDescent="0.25">
      <c r="A622" s="15">
        <v>43633</v>
      </c>
      <c r="B622" s="16">
        <v>0.510625</v>
      </c>
      <c r="C622" s="157">
        <v>43.87</v>
      </c>
      <c r="D622" s="15"/>
      <c r="E622" s="157"/>
      <c r="G622" s="157"/>
    </row>
    <row r="623" spans="1:7" x14ac:dyDescent="0.25">
      <c r="A623" s="15">
        <v>43634</v>
      </c>
      <c r="B623" s="16">
        <v>0.50812500000000005</v>
      </c>
      <c r="C623" s="157">
        <v>43.66</v>
      </c>
      <c r="D623" s="15"/>
      <c r="E623" s="157"/>
      <c r="G623" s="157"/>
    </row>
    <row r="624" spans="1:7" x14ac:dyDescent="0.25">
      <c r="A624" s="15">
        <v>43635</v>
      </c>
      <c r="B624" s="16">
        <v>0.50749999999999995</v>
      </c>
      <c r="C624" s="157">
        <v>43.45</v>
      </c>
      <c r="D624" s="15"/>
      <c r="E624" s="157"/>
      <c r="G624" s="157"/>
    </row>
    <row r="625" spans="1:7" x14ac:dyDescent="0.25">
      <c r="A625" s="15">
        <v>43637</v>
      </c>
      <c r="B625" s="16">
        <v>0.49937500000000001</v>
      </c>
      <c r="C625" s="157">
        <v>42.92</v>
      </c>
      <c r="D625" s="15"/>
      <c r="E625" s="157"/>
      <c r="G625" s="157"/>
    </row>
    <row r="626" spans="1:7" x14ac:dyDescent="0.25">
      <c r="A626" s="15">
        <v>43640</v>
      </c>
      <c r="B626" s="16">
        <v>0.4975</v>
      </c>
      <c r="C626" s="157">
        <v>42.67</v>
      </c>
      <c r="D626" s="15"/>
      <c r="E626" s="157"/>
      <c r="G626" s="157"/>
    </row>
    <row r="627" spans="1:7" x14ac:dyDescent="0.25">
      <c r="A627" s="15">
        <v>43641</v>
      </c>
      <c r="B627" s="16">
        <v>0.48312500000000003</v>
      </c>
      <c r="C627" s="157">
        <v>42.31</v>
      </c>
      <c r="D627" s="15"/>
      <c r="E627" s="157"/>
      <c r="G627" s="157"/>
    </row>
    <row r="628" spans="1:7" x14ac:dyDescent="0.25">
      <c r="A628" s="15">
        <v>43642</v>
      </c>
      <c r="B628" s="16">
        <v>0.481875</v>
      </c>
      <c r="C628" s="157">
        <v>42.71</v>
      </c>
      <c r="D628" s="15"/>
      <c r="E628" s="157"/>
      <c r="G628" s="157"/>
    </row>
    <row r="629" spans="1:7" x14ac:dyDescent="0.25">
      <c r="A629" s="15">
        <v>43643</v>
      </c>
      <c r="B629" s="16">
        <v>0.47687499999999999</v>
      </c>
      <c r="C629" s="157">
        <v>42.84</v>
      </c>
      <c r="D629" s="15"/>
      <c r="E629" s="157"/>
      <c r="G629" s="157"/>
    </row>
    <row r="630" spans="1:7" x14ac:dyDescent="0.25">
      <c r="A630" s="15">
        <v>43644</v>
      </c>
      <c r="B630" s="16">
        <v>0.47499999999999998</v>
      </c>
      <c r="C630" s="157">
        <v>42.45</v>
      </c>
      <c r="D630" s="15"/>
      <c r="E630" s="157"/>
      <c r="G630" s="157"/>
    </row>
    <row r="631" spans="1:7" x14ac:dyDescent="0.25">
      <c r="A631" s="15">
        <v>43647</v>
      </c>
      <c r="B631" s="16">
        <v>0.47687499999999999</v>
      </c>
      <c r="C631" s="157">
        <v>42.14</v>
      </c>
      <c r="D631" s="15"/>
      <c r="E631" s="157"/>
      <c r="G631" s="157"/>
    </row>
    <row r="632" spans="1:7" x14ac:dyDescent="0.25">
      <c r="A632" s="15">
        <v>43648</v>
      </c>
      <c r="B632" s="16">
        <v>0.48</v>
      </c>
      <c r="C632" s="157">
        <v>42.47</v>
      </c>
      <c r="D632" s="15"/>
      <c r="E632" s="157"/>
      <c r="G632" s="157"/>
    </row>
    <row r="633" spans="1:7" x14ac:dyDescent="0.25">
      <c r="A633" s="15">
        <v>43649</v>
      </c>
      <c r="B633" s="16">
        <v>0.484375</v>
      </c>
      <c r="C633" s="157">
        <v>42.09</v>
      </c>
      <c r="D633" s="15"/>
      <c r="E633" s="157"/>
      <c r="G633" s="157"/>
    </row>
    <row r="634" spans="1:7" x14ac:dyDescent="0.25">
      <c r="A634" s="15">
        <v>43650</v>
      </c>
      <c r="B634" s="16">
        <v>0.484375</v>
      </c>
      <c r="C634" s="157">
        <v>41.76</v>
      </c>
      <c r="D634" s="15"/>
      <c r="E634" s="157"/>
      <c r="G634" s="157"/>
    </row>
    <row r="635" spans="1:7" x14ac:dyDescent="0.25">
      <c r="A635" s="15">
        <v>43651</v>
      </c>
      <c r="B635" s="16">
        <v>0.48062500000000002</v>
      </c>
      <c r="C635" s="157">
        <v>41.98</v>
      </c>
      <c r="D635" s="15"/>
      <c r="E635" s="157"/>
      <c r="G635" s="157"/>
    </row>
    <row r="636" spans="1:7" x14ac:dyDescent="0.25">
      <c r="A636" s="15">
        <v>43656</v>
      </c>
      <c r="B636" s="16">
        <v>0.47812500000000002</v>
      </c>
      <c r="C636" s="157">
        <v>41.88</v>
      </c>
      <c r="D636" s="15"/>
      <c r="E636" s="157"/>
      <c r="G636" s="157"/>
    </row>
    <row r="637" spans="1:7" x14ac:dyDescent="0.25">
      <c r="A637" s="15">
        <v>43657</v>
      </c>
      <c r="B637" s="16">
        <v>0.48499999999999999</v>
      </c>
      <c r="C637" s="157">
        <v>41.76</v>
      </c>
      <c r="D637" s="15"/>
      <c r="E637" s="157"/>
      <c r="G637" s="157"/>
    </row>
    <row r="638" spans="1:7" x14ac:dyDescent="0.25">
      <c r="A638" s="15">
        <v>43658</v>
      </c>
      <c r="B638" s="16">
        <v>0.47562500000000002</v>
      </c>
      <c r="C638" s="157">
        <v>41.66</v>
      </c>
      <c r="D638" s="15"/>
      <c r="E638" s="157"/>
      <c r="G638" s="157"/>
    </row>
    <row r="639" spans="1:7" x14ac:dyDescent="0.25">
      <c r="A639" s="15">
        <v>43661</v>
      </c>
      <c r="B639" s="16">
        <v>0.48125000000000001</v>
      </c>
      <c r="C639" s="157">
        <v>41.86</v>
      </c>
      <c r="D639" s="15"/>
      <c r="E639" s="157"/>
      <c r="G639" s="157"/>
    </row>
    <row r="640" spans="1:7" x14ac:dyDescent="0.25">
      <c r="A640" s="15">
        <v>43662</v>
      </c>
      <c r="B640" s="16">
        <v>0.47625000000000001</v>
      </c>
      <c r="C640" s="157">
        <v>42.63</v>
      </c>
      <c r="D640" s="15"/>
      <c r="E640" s="157"/>
      <c r="G640" s="157"/>
    </row>
    <row r="641" spans="1:7" x14ac:dyDescent="0.25">
      <c r="A641" s="15">
        <v>43663</v>
      </c>
      <c r="B641" s="16">
        <v>0.48062500000000002</v>
      </c>
      <c r="C641" s="157">
        <v>42.52</v>
      </c>
      <c r="D641" s="15"/>
      <c r="E641" s="157"/>
      <c r="G641" s="157"/>
    </row>
    <row r="642" spans="1:7" x14ac:dyDescent="0.25">
      <c r="A642" s="15">
        <v>43664</v>
      </c>
      <c r="B642" s="16">
        <v>0.47812500000000002</v>
      </c>
      <c r="C642" s="157">
        <v>42.35</v>
      </c>
      <c r="D642" s="15"/>
      <c r="E642" s="157"/>
      <c r="G642" s="157"/>
    </row>
    <row r="643" spans="1:7" x14ac:dyDescent="0.25">
      <c r="A643" s="15">
        <v>43665</v>
      </c>
      <c r="B643" s="16">
        <v>0.48249999999999998</v>
      </c>
      <c r="C643" s="157">
        <v>42.45</v>
      </c>
      <c r="D643" s="15"/>
      <c r="E643" s="157"/>
      <c r="G643" s="157"/>
    </row>
    <row r="644" spans="1:7" x14ac:dyDescent="0.25">
      <c r="A644" s="15">
        <v>43666</v>
      </c>
      <c r="B644" s="16">
        <v>0.48249999999999998</v>
      </c>
      <c r="C644" s="157">
        <v>42.45</v>
      </c>
      <c r="D644" s="15"/>
      <c r="E644" s="157"/>
      <c r="G644" s="157"/>
    </row>
    <row r="645" spans="1:7" x14ac:dyDescent="0.25">
      <c r="A645" s="15">
        <v>43667</v>
      </c>
      <c r="B645" s="16">
        <v>0.48249999999999998</v>
      </c>
      <c r="C645" s="157">
        <v>42.45</v>
      </c>
      <c r="D645" s="15"/>
      <c r="E645" s="157"/>
      <c r="G645" s="157"/>
    </row>
    <row r="646" spans="1:7" x14ac:dyDescent="0.25">
      <c r="A646" s="15">
        <v>43668</v>
      </c>
      <c r="B646" s="16">
        <v>0.479375</v>
      </c>
      <c r="C646" s="157">
        <v>42.48</v>
      </c>
      <c r="D646" s="15"/>
      <c r="E646" s="157"/>
      <c r="G646" s="157"/>
    </row>
    <row r="647" spans="1:7" x14ac:dyDescent="0.25">
      <c r="A647" s="15">
        <v>43669</v>
      </c>
      <c r="B647" s="16">
        <v>0.50249999999999995</v>
      </c>
      <c r="C647" s="157">
        <v>42.63</v>
      </c>
      <c r="D647" s="15"/>
      <c r="E647" s="157"/>
      <c r="G647" s="157"/>
    </row>
    <row r="648" spans="1:7" x14ac:dyDescent="0.25">
      <c r="A648" s="15">
        <v>43670</v>
      </c>
      <c r="B648" s="16">
        <v>0.49125000000000002</v>
      </c>
      <c r="C648" s="157">
        <v>42.81</v>
      </c>
      <c r="D648" s="15"/>
      <c r="E648" s="157"/>
      <c r="G648" s="157"/>
    </row>
    <row r="649" spans="1:7" x14ac:dyDescent="0.25">
      <c r="A649" s="15">
        <v>43671</v>
      </c>
      <c r="B649" s="16">
        <v>0.50812500000000005</v>
      </c>
      <c r="C649" s="157">
        <v>43.25</v>
      </c>
      <c r="D649" s="15"/>
      <c r="E649" s="157"/>
      <c r="G649" s="157"/>
    </row>
    <row r="650" spans="1:7" x14ac:dyDescent="0.25">
      <c r="A650" s="15">
        <v>43672</v>
      </c>
      <c r="B650" s="16">
        <v>0.49375000000000002</v>
      </c>
      <c r="C650" s="157">
        <v>43.22</v>
      </c>
      <c r="D650" s="15"/>
      <c r="E650" s="157"/>
      <c r="G650" s="157"/>
    </row>
    <row r="651" spans="1:7" x14ac:dyDescent="0.25">
      <c r="A651" s="15">
        <v>43673</v>
      </c>
      <c r="B651" s="16">
        <v>0.49375000000000002</v>
      </c>
      <c r="C651" s="157">
        <v>43.22</v>
      </c>
      <c r="D651" s="15"/>
      <c r="E651" s="157"/>
      <c r="G651" s="157"/>
    </row>
    <row r="652" spans="1:7" x14ac:dyDescent="0.25">
      <c r="A652" s="15">
        <v>43674</v>
      </c>
      <c r="B652" s="16">
        <v>0.49375000000000002</v>
      </c>
      <c r="C652" s="157">
        <v>43.22</v>
      </c>
      <c r="D652" s="15"/>
      <c r="E652" s="157"/>
      <c r="G652" s="157"/>
    </row>
    <row r="653" spans="1:7" x14ac:dyDescent="0.25">
      <c r="A653" s="15">
        <v>43675</v>
      </c>
      <c r="B653" s="16">
        <v>0.495</v>
      </c>
      <c r="C653" s="157">
        <v>43.76</v>
      </c>
      <c r="D653" s="15"/>
      <c r="E653" s="157"/>
      <c r="G653" s="157"/>
    </row>
    <row r="654" spans="1:7" x14ac:dyDescent="0.25">
      <c r="A654" s="15">
        <v>43676</v>
      </c>
      <c r="B654" s="16">
        <v>0.50124999999999997</v>
      </c>
      <c r="C654" s="157">
        <v>43.88</v>
      </c>
      <c r="D654" s="15"/>
      <c r="E654" s="157"/>
      <c r="G654" s="157"/>
    </row>
    <row r="655" spans="1:7" x14ac:dyDescent="0.25">
      <c r="A655" s="15">
        <v>43677</v>
      </c>
      <c r="B655" s="16">
        <v>0.49625000000000002</v>
      </c>
      <c r="C655" s="157">
        <v>43.87</v>
      </c>
      <c r="D655" s="15"/>
      <c r="E655" s="157"/>
      <c r="G655" s="157"/>
    </row>
    <row r="656" spans="1:7" x14ac:dyDescent="0.25">
      <c r="A656" s="15">
        <v>43678</v>
      </c>
      <c r="B656" s="16">
        <v>0.49812499999999998</v>
      </c>
      <c r="C656" s="157">
        <v>44.32</v>
      </c>
      <c r="D656" s="15"/>
      <c r="E656" s="157"/>
      <c r="G656" s="157"/>
    </row>
    <row r="657" spans="1:7" x14ac:dyDescent="0.25">
      <c r="A657" s="15">
        <v>43679</v>
      </c>
      <c r="B657" s="16">
        <v>0.49812499999999998</v>
      </c>
      <c r="C657" s="157">
        <v>44.7</v>
      </c>
      <c r="D657" s="15"/>
      <c r="E657" s="157"/>
      <c r="G657" s="157"/>
    </row>
    <row r="658" spans="1:7" x14ac:dyDescent="0.25">
      <c r="A658" s="15">
        <v>43680</v>
      </c>
      <c r="B658" s="16">
        <v>0.49812499999999998</v>
      </c>
      <c r="C658" s="157">
        <v>44.7</v>
      </c>
      <c r="D658" s="15"/>
      <c r="E658" s="157"/>
      <c r="G658" s="157"/>
    </row>
    <row r="659" spans="1:7" x14ac:dyDescent="0.25">
      <c r="A659" s="15">
        <v>43681</v>
      </c>
      <c r="B659" s="16">
        <v>0.49812499999999998</v>
      </c>
      <c r="C659" s="157">
        <v>44.7</v>
      </c>
      <c r="D659" s="15"/>
      <c r="E659" s="157"/>
      <c r="G659" s="157"/>
    </row>
    <row r="660" spans="1:7" x14ac:dyDescent="0.25">
      <c r="A660" s="15">
        <v>43682</v>
      </c>
      <c r="B660" s="16">
        <v>0.50437500000000002</v>
      </c>
      <c r="C660" s="157">
        <v>45.44</v>
      </c>
      <c r="D660" s="15"/>
      <c r="E660" s="157"/>
      <c r="G660" s="157"/>
    </row>
    <row r="661" spans="1:7" x14ac:dyDescent="0.25">
      <c r="A661" s="15">
        <v>43683</v>
      </c>
      <c r="B661" s="16">
        <v>0.515625</v>
      </c>
      <c r="C661" s="157">
        <v>45.35</v>
      </c>
      <c r="D661" s="15"/>
      <c r="E661" s="157"/>
      <c r="G661" s="157"/>
    </row>
    <row r="662" spans="1:7" x14ac:dyDescent="0.25">
      <c r="A662" s="15">
        <v>43684</v>
      </c>
      <c r="B662" s="16">
        <v>0.52375000000000005</v>
      </c>
      <c r="C662" s="157">
        <v>45.69</v>
      </c>
      <c r="D662" s="15"/>
      <c r="E662" s="157"/>
      <c r="G662" s="157"/>
    </row>
    <row r="663" spans="1:7" x14ac:dyDescent="0.25">
      <c r="A663" s="15">
        <v>43685</v>
      </c>
      <c r="B663" s="16">
        <v>0.52</v>
      </c>
      <c r="C663" s="157">
        <v>45.41</v>
      </c>
      <c r="D663" s="15"/>
      <c r="E663" s="157"/>
      <c r="G663" s="157"/>
    </row>
    <row r="664" spans="1:7" x14ac:dyDescent="0.25">
      <c r="A664" s="15">
        <v>43686</v>
      </c>
      <c r="B664" s="16">
        <v>0.51249999999999996</v>
      </c>
      <c r="C664" s="157">
        <v>45.4</v>
      </c>
      <c r="D664" s="15"/>
      <c r="E664" s="157"/>
      <c r="G664" s="157"/>
    </row>
    <row r="665" spans="1:7" x14ac:dyDescent="0.25">
      <c r="A665" s="15">
        <v>43689</v>
      </c>
      <c r="B665" s="16">
        <v>0.53125</v>
      </c>
      <c r="C665" s="157">
        <v>55.75</v>
      </c>
      <c r="D665" s="15"/>
      <c r="E665" s="157"/>
      <c r="G665" s="157"/>
    </row>
    <row r="666" spans="1:7" x14ac:dyDescent="0.25">
      <c r="A666" s="15">
        <v>43690</v>
      </c>
      <c r="B666" s="16">
        <v>0.57499999999999996</v>
      </c>
      <c r="C666" s="157">
        <v>56.32</v>
      </c>
      <c r="D666" s="15"/>
      <c r="E666" s="157"/>
      <c r="G666" s="157"/>
    </row>
    <row r="667" spans="1:7" x14ac:dyDescent="0.25">
      <c r="A667" s="15">
        <v>43691</v>
      </c>
      <c r="B667" s="16">
        <v>0.58125000000000004</v>
      </c>
      <c r="C667" s="157">
        <v>58.84</v>
      </c>
      <c r="D667" s="15"/>
      <c r="E667" s="157"/>
      <c r="G667" s="157"/>
    </row>
    <row r="668" spans="1:7" x14ac:dyDescent="0.25">
      <c r="A668" s="15">
        <v>43692</v>
      </c>
      <c r="B668" s="16">
        <v>0.57562500000000005</v>
      </c>
      <c r="C668" s="157">
        <v>56.63</v>
      </c>
      <c r="D668" s="15"/>
      <c r="E668" s="157"/>
      <c r="G668" s="157"/>
    </row>
    <row r="669" spans="1:7" x14ac:dyDescent="0.25">
      <c r="A669" s="15">
        <v>43693</v>
      </c>
      <c r="B669" s="16">
        <v>0.57874999999999999</v>
      </c>
      <c r="C669" s="157">
        <v>56.44</v>
      </c>
      <c r="D669" s="15"/>
      <c r="E669" s="157"/>
      <c r="G669" s="157"/>
    </row>
    <row r="670" spans="1:7" x14ac:dyDescent="0.25">
      <c r="A670" s="15">
        <v>43697</v>
      </c>
      <c r="B670" s="16">
        <v>0.57374999999999998</v>
      </c>
      <c r="C670" s="157">
        <v>55.36</v>
      </c>
      <c r="D670" s="15"/>
      <c r="E670" s="157"/>
      <c r="G670" s="157"/>
    </row>
    <row r="671" spans="1:7" x14ac:dyDescent="0.25">
      <c r="A671" s="15">
        <v>43698</v>
      </c>
      <c r="B671" s="16">
        <v>0.57125000000000004</v>
      </c>
      <c r="C671" s="157">
        <v>54.92</v>
      </c>
      <c r="D671" s="15"/>
      <c r="E671" s="157"/>
      <c r="G671" s="157"/>
    </row>
    <row r="672" spans="1:7" x14ac:dyDescent="0.25">
      <c r="A672" s="15">
        <v>43699</v>
      </c>
      <c r="B672" s="16">
        <v>0.58937499999999998</v>
      </c>
      <c r="C672" s="157">
        <v>55.03</v>
      </c>
      <c r="D672" s="15"/>
      <c r="E672" s="157"/>
      <c r="G672" s="157"/>
    </row>
    <row r="673" spans="1:7" x14ac:dyDescent="0.25">
      <c r="A673" s="15">
        <v>43700</v>
      </c>
      <c r="B673" s="16">
        <v>0.58125000000000004</v>
      </c>
      <c r="C673" s="157">
        <v>55.27</v>
      </c>
      <c r="D673" s="15"/>
      <c r="E673" s="157"/>
      <c r="G673" s="157"/>
    </row>
    <row r="674" spans="1:7" x14ac:dyDescent="0.25">
      <c r="A674" s="15">
        <v>43703</v>
      </c>
      <c r="B674" s="16">
        <v>0.57750000000000001</v>
      </c>
      <c r="C674" s="157">
        <v>55.34</v>
      </c>
      <c r="D674" s="15"/>
      <c r="E674" s="157"/>
      <c r="G674" s="157"/>
    </row>
    <row r="675" spans="1:7" x14ac:dyDescent="0.25">
      <c r="A675" s="15">
        <v>43704</v>
      </c>
      <c r="B675" s="16">
        <v>0.6</v>
      </c>
      <c r="C675" s="157">
        <v>55.71</v>
      </c>
      <c r="D675" s="15"/>
      <c r="E675" s="157"/>
      <c r="G675" s="157"/>
    </row>
    <row r="676" spans="1:7" x14ac:dyDescent="0.25">
      <c r="A676" s="15">
        <v>43705</v>
      </c>
      <c r="B676" s="16">
        <v>0.57937499999999997</v>
      </c>
      <c r="C676" s="157">
        <v>58.08</v>
      </c>
      <c r="D676" s="15"/>
      <c r="E676" s="157"/>
      <c r="G676" s="157"/>
    </row>
    <row r="677" spans="1:7" x14ac:dyDescent="0.25">
      <c r="A677" s="15">
        <v>43706</v>
      </c>
      <c r="B677" s="16">
        <v>0.57562500000000005</v>
      </c>
      <c r="C677" s="157">
        <v>58.2</v>
      </c>
      <c r="D677" s="15"/>
      <c r="E677" s="157"/>
      <c r="G677" s="157"/>
    </row>
    <row r="678" spans="1:7" x14ac:dyDescent="0.25">
      <c r="A678" s="15">
        <v>43707</v>
      </c>
      <c r="B678" s="16">
        <v>0.58062499999999995</v>
      </c>
      <c r="C678" s="157">
        <v>59.08</v>
      </c>
      <c r="D678" s="15"/>
      <c r="E678" s="157"/>
      <c r="G678" s="157"/>
    </row>
    <row r="679" spans="1:7" x14ac:dyDescent="0.25">
      <c r="A679" s="15">
        <v>43710</v>
      </c>
      <c r="B679" s="16">
        <v>0.59187500000000004</v>
      </c>
      <c r="C679" s="157">
        <v>57.09</v>
      </c>
      <c r="D679" s="15"/>
      <c r="E679" s="157"/>
      <c r="G679" s="157"/>
    </row>
    <row r="680" spans="1:7" x14ac:dyDescent="0.25">
      <c r="A680" s="15">
        <v>43711</v>
      </c>
      <c r="B680" s="16">
        <v>0.60687500000000005</v>
      </c>
      <c r="C680" s="157">
        <v>55.78</v>
      </c>
      <c r="D680" s="15"/>
      <c r="E680" s="157"/>
      <c r="G680" s="157"/>
    </row>
    <row r="681" spans="1:7" x14ac:dyDescent="0.25">
      <c r="A681" s="15">
        <v>43712</v>
      </c>
      <c r="B681" s="16">
        <v>0.59875</v>
      </c>
      <c r="C681" s="157">
        <v>55.94</v>
      </c>
      <c r="D681" s="15"/>
      <c r="E681" s="157"/>
      <c r="G681" s="157"/>
    </row>
    <row r="682" spans="1:7" x14ac:dyDescent="0.25">
      <c r="A682" s="15">
        <v>43713</v>
      </c>
      <c r="B682" s="16">
        <v>0.604375</v>
      </c>
      <c r="C682" s="157">
        <v>56</v>
      </c>
      <c r="D682" s="15"/>
      <c r="E682" s="157"/>
      <c r="G682" s="157"/>
    </row>
    <row r="683" spans="1:7" x14ac:dyDescent="0.25">
      <c r="A683" s="15">
        <v>43714</v>
      </c>
      <c r="B683" s="16">
        <v>0.609375</v>
      </c>
      <c r="C683" s="157">
        <v>55.91</v>
      </c>
      <c r="D683" s="15"/>
      <c r="E683" s="157"/>
      <c r="G683" s="157"/>
    </row>
    <row r="684" spans="1:7" x14ac:dyDescent="0.25">
      <c r="A684" s="15">
        <v>43717</v>
      </c>
      <c r="B684" s="16">
        <v>0.59187500000000004</v>
      </c>
      <c r="C684" s="157">
        <v>55.94</v>
      </c>
      <c r="D684" s="15"/>
      <c r="E684" s="157"/>
      <c r="G684" s="157"/>
    </row>
    <row r="685" spans="1:7" x14ac:dyDescent="0.25">
      <c r="A685" s="15">
        <v>43718</v>
      </c>
      <c r="B685" s="16">
        <v>0.61</v>
      </c>
      <c r="C685" s="157">
        <v>56.07</v>
      </c>
      <c r="D685" s="15"/>
      <c r="E685" s="157"/>
      <c r="G685" s="157"/>
    </row>
    <row r="686" spans="1:7" x14ac:dyDescent="0.25">
      <c r="A686" s="15">
        <v>43719</v>
      </c>
      <c r="B686" s="16">
        <v>0.604375</v>
      </c>
      <c r="C686" s="157">
        <v>56.11</v>
      </c>
      <c r="D686" s="15"/>
      <c r="E686" s="157"/>
      <c r="G686" s="157"/>
    </row>
    <row r="687" spans="1:7" x14ac:dyDescent="0.25">
      <c r="A687" s="15">
        <v>43720</v>
      </c>
      <c r="B687" s="16">
        <v>0.60499999999999998</v>
      </c>
      <c r="C687" s="157">
        <v>56.18</v>
      </c>
      <c r="D687" s="15"/>
      <c r="E687" s="157"/>
      <c r="G687" s="157"/>
    </row>
    <row r="688" spans="1:7" x14ac:dyDescent="0.25">
      <c r="A688" s="15">
        <v>43721</v>
      </c>
      <c r="B688" s="16">
        <v>0.60750000000000004</v>
      </c>
      <c r="C688" s="157">
        <v>56.15</v>
      </c>
      <c r="D688" s="15"/>
      <c r="E688" s="157"/>
      <c r="G688" s="157"/>
    </row>
    <row r="689" spans="1:7" x14ac:dyDescent="0.25">
      <c r="A689" s="15">
        <v>43724</v>
      </c>
      <c r="B689" s="16">
        <v>0.60187500000000005</v>
      </c>
      <c r="C689" s="157">
        <v>56.25</v>
      </c>
      <c r="D689" s="15"/>
      <c r="E689" s="157"/>
      <c r="G689" s="157"/>
    </row>
    <row r="690" spans="1:7" x14ac:dyDescent="0.25">
      <c r="A690" s="15">
        <v>43725</v>
      </c>
      <c r="B690" s="16">
        <v>0.60124999999999995</v>
      </c>
      <c r="C690" s="157">
        <v>56.45</v>
      </c>
      <c r="D690" s="15"/>
      <c r="E690" s="157"/>
      <c r="G690" s="157"/>
    </row>
    <row r="691" spans="1:7" x14ac:dyDescent="0.25">
      <c r="A691" s="15">
        <v>43726</v>
      </c>
      <c r="B691" s="16">
        <v>0.604375</v>
      </c>
      <c r="C691" s="157">
        <v>56.5</v>
      </c>
      <c r="D691" s="15"/>
      <c r="E691" s="157"/>
      <c r="G691" s="157"/>
    </row>
    <row r="692" spans="1:7" x14ac:dyDescent="0.25">
      <c r="A692" s="15">
        <v>43727</v>
      </c>
      <c r="B692" s="16">
        <v>0.59875</v>
      </c>
      <c r="C692" s="157">
        <v>56.61</v>
      </c>
      <c r="D692" s="15"/>
      <c r="E692" s="157"/>
      <c r="G692" s="157"/>
    </row>
    <row r="693" spans="1:7" x14ac:dyDescent="0.25">
      <c r="A693" s="15">
        <v>43728</v>
      </c>
      <c r="B693" s="16">
        <v>0.59375</v>
      </c>
      <c r="C693" s="157">
        <v>56.62</v>
      </c>
      <c r="D693" s="15"/>
      <c r="E693" s="157"/>
      <c r="G693" s="157"/>
    </row>
    <row r="694" spans="1:7" x14ac:dyDescent="0.25">
      <c r="A694" s="15">
        <v>43731</v>
      </c>
      <c r="B694" s="16">
        <v>0.59812500000000002</v>
      </c>
      <c r="C694" s="157">
        <v>56.93</v>
      </c>
      <c r="D694" s="15"/>
      <c r="E694" s="157"/>
      <c r="G694" s="157"/>
    </row>
    <row r="695" spans="1:7" x14ac:dyDescent="0.25">
      <c r="A695" s="15">
        <v>43732</v>
      </c>
      <c r="B695" s="16">
        <v>0.59250000000000003</v>
      </c>
      <c r="C695" s="157">
        <v>56.94</v>
      </c>
      <c r="D695" s="15"/>
      <c r="E695" s="157"/>
      <c r="G695" s="157"/>
    </row>
    <row r="696" spans="1:7" x14ac:dyDescent="0.25">
      <c r="A696" s="15">
        <v>43733</v>
      </c>
      <c r="B696" s="16">
        <v>0.58875</v>
      </c>
      <c r="C696" s="157">
        <v>57.01</v>
      </c>
      <c r="D696" s="15"/>
      <c r="E696" s="157"/>
      <c r="G696" s="157"/>
    </row>
    <row r="697" spans="1:7" x14ac:dyDescent="0.25">
      <c r="A697" s="15">
        <v>43734</v>
      </c>
      <c r="B697" s="16">
        <v>0.59562499999999996</v>
      </c>
      <c r="C697" s="157">
        <v>57.18</v>
      </c>
      <c r="D697" s="15"/>
      <c r="E697" s="157"/>
      <c r="G697" s="157"/>
    </row>
    <row r="698" spans="1:7" x14ac:dyDescent="0.25">
      <c r="A698" s="15">
        <v>43735</v>
      </c>
      <c r="B698" s="16">
        <v>0.59624999999999995</v>
      </c>
      <c r="C698" s="157">
        <v>57.32</v>
      </c>
      <c r="D698" s="15"/>
      <c r="E698" s="157"/>
      <c r="G698" s="157"/>
    </row>
    <row r="699" spans="1:7" x14ac:dyDescent="0.25">
      <c r="A699" s="15">
        <v>43738</v>
      </c>
      <c r="B699" s="16">
        <v>0.58875</v>
      </c>
      <c r="C699" s="157">
        <v>57.56</v>
      </c>
      <c r="D699" s="15"/>
      <c r="E699" s="157"/>
      <c r="G699" s="157"/>
    </row>
    <row r="700" spans="1:7" x14ac:dyDescent="0.25">
      <c r="A700" s="15">
        <v>43739</v>
      </c>
      <c r="B700" s="16">
        <v>0.59937499999999999</v>
      </c>
      <c r="C700" s="157">
        <v>57.7</v>
      </c>
      <c r="D700" s="15"/>
      <c r="E700" s="157"/>
      <c r="G700" s="157"/>
    </row>
    <row r="701" spans="1:7" x14ac:dyDescent="0.25">
      <c r="A701" s="15">
        <v>43740</v>
      </c>
      <c r="B701" s="16">
        <v>0.59375</v>
      </c>
      <c r="C701" s="157">
        <v>57.89</v>
      </c>
      <c r="D701" s="15"/>
      <c r="E701" s="157"/>
      <c r="G701" s="157"/>
    </row>
    <row r="702" spans="1:7" x14ac:dyDescent="0.25">
      <c r="A702" s="15">
        <v>43741</v>
      </c>
      <c r="B702" s="16">
        <v>0.59187500000000004</v>
      </c>
      <c r="C702" s="157">
        <v>57.76</v>
      </c>
      <c r="D702" s="15"/>
      <c r="E702" s="157"/>
      <c r="G702" s="157"/>
    </row>
    <row r="703" spans="1:7" x14ac:dyDescent="0.25">
      <c r="A703" s="15">
        <v>43742</v>
      </c>
      <c r="B703" s="16">
        <v>0.57874999999999999</v>
      </c>
      <c r="C703" s="157">
        <v>57.71</v>
      </c>
      <c r="D703" s="15"/>
      <c r="E703" s="157"/>
      <c r="G703" s="157"/>
    </row>
    <row r="704" spans="1:7" x14ac:dyDescent="0.25">
      <c r="A704" s="15">
        <v>43745</v>
      </c>
      <c r="B704" s="16">
        <v>0.57750000000000001</v>
      </c>
      <c r="C704" s="157">
        <v>57.87</v>
      </c>
      <c r="D704" s="15"/>
      <c r="E704" s="157"/>
      <c r="G704" s="157"/>
    </row>
    <row r="705" spans="1:7" x14ac:dyDescent="0.25">
      <c r="A705" s="15">
        <v>43746</v>
      </c>
      <c r="B705" s="16">
        <v>0.57937499999999997</v>
      </c>
      <c r="C705" s="157">
        <v>57.84</v>
      </c>
      <c r="D705" s="15"/>
      <c r="E705" s="157"/>
      <c r="G705" s="157"/>
    </row>
    <row r="706" spans="1:7" x14ac:dyDescent="0.25">
      <c r="A706" s="15">
        <v>43747</v>
      </c>
      <c r="B706" s="16">
        <v>0.56687500000000002</v>
      </c>
      <c r="C706" s="157">
        <v>57.96</v>
      </c>
      <c r="D706" s="15"/>
      <c r="E706" s="157"/>
      <c r="G706" s="157"/>
    </row>
    <row r="707" spans="1:7" x14ac:dyDescent="0.25">
      <c r="A707" s="15">
        <v>43748</v>
      </c>
      <c r="B707" s="16">
        <v>0.57187500000000002</v>
      </c>
      <c r="C707" s="157">
        <v>57.98</v>
      </c>
      <c r="D707" s="15"/>
      <c r="E707" s="157"/>
      <c r="G707" s="157"/>
    </row>
    <row r="708" spans="1:7" x14ac:dyDescent="0.25">
      <c r="A708" s="15">
        <v>43749</v>
      </c>
      <c r="B708" s="16">
        <v>0.55500000000000005</v>
      </c>
      <c r="C708" s="157">
        <v>58.05</v>
      </c>
      <c r="D708" s="15"/>
      <c r="E708" s="157"/>
      <c r="G708" s="157"/>
    </row>
    <row r="709" spans="1:7" x14ac:dyDescent="0.25">
      <c r="A709" s="15">
        <v>43750</v>
      </c>
      <c r="B709" s="16">
        <v>0.55687500000000001</v>
      </c>
      <c r="C709" s="157">
        <v>58.05</v>
      </c>
      <c r="D709" s="15"/>
      <c r="E709" s="157"/>
      <c r="G709" s="157"/>
    </row>
    <row r="710" spans="1:7" x14ac:dyDescent="0.25">
      <c r="A710" s="15">
        <v>43751</v>
      </c>
      <c r="B710" s="16">
        <v>0.54812499999999997</v>
      </c>
      <c r="C710" s="157">
        <v>58.05</v>
      </c>
      <c r="D710" s="15"/>
      <c r="E710" s="157"/>
      <c r="G710" s="157"/>
    </row>
    <row r="711" spans="1:7" x14ac:dyDescent="0.25">
      <c r="A711" s="15">
        <v>43752</v>
      </c>
      <c r="B711" s="16">
        <v>0.55062500000000003</v>
      </c>
      <c r="C711" s="157">
        <v>58.05</v>
      </c>
      <c r="D711" s="15"/>
      <c r="E711" s="157"/>
      <c r="G711" s="157"/>
    </row>
    <row r="712" spans="1:7" x14ac:dyDescent="0.25">
      <c r="A712" s="15">
        <v>43753</v>
      </c>
      <c r="B712" s="16">
        <v>0.55249999999999999</v>
      </c>
      <c r="C712" s="157">
        <v>58.24</v>
      </c>
      <c r="D712" s="15"/>
      <c r="E712" s="157"/>
      <c r="G712" s="157"/>
    </row>
    <row r="713" spans="1:7" x14ac:dyDescent="0.25">
      <c r="A713" s="15">
        <v>43754</v>
      </c>
      <c r="B713" s="16">
        <v>0.55249999999999999</v>
      </c>
      <c r="C713" s="157">
        <v>58.33</v>
      </c>
      <c r="D713" s="15"/>
      <c r="E713" s="157"/>
      <c r="G713" s="157"/>
    </row>
    <row r="714" spans="1:7" x14ac:dyDescent="0.25">
      <c r="A714" s="15">
        <v>43755</v>
      </c>
      <c r="B714" s="16">
        <v>0.55249999999999999</v>
      </c>
      <c r="C714" s="157">
        <v>58.31</v>
      </c>
      <c r="D714" s="15"/>
      <c r="E714" s="157"/>
      <c r="G714" s="157"/>
    </row>
    <row r="715" spans="1:7" x14ac:dyDescent="0.25">
      <c r="A715" s="15">
        <v>43756</v>
      </c>
      <c r="B715" s="16">
        <v>0.55249999999999999</v>
      </c>
      <c r="C715" s="157">
        <v>58.34</v>
      </c>
      <c r="D715" s="15"/>
      <c r="E715" s="157"/>
      <c r="G715" s="157"/>
    </row>
    <row r="716" spans="1:7" x14ac:dyDescent="0.25">
      <c r="A716" s="15">
        <v>43759</v>
      </c>
      <c r="B716" s="16">
        <v>0.53874999999999995</v>
      </c>
      <c r="C716" s="157">
        <v>58.52</v>
      </c>
      <c r="D716" s="15"/>
      <c r="E716" s="157"/>
      <c r="G716" s="157"/>
    </row>
    <row r="717" spans="1:7" x14ac:dyDescent="0.25">
      <c r="A717" s="15">
        <v>43760</v>
      </c>
      <c r="B717" s="16">
        <v>0.55062500000000003</v>
      </c>
      <c r="C717" s="157">
        <v>58.65</v>
      </c>
      <c r="D717" s="15"/>
      <c r="E717" s="157"/>
      <c r="G717" s="157"/>
    </row>
    <row r="718" spans="1:7" x14ac:dyDescent="0.25">
      <c r="A718" s="15">
        <v>43761</v>
      </c>
      <c r="B718" s="16">
        <v>0.54374999999999996</v>
      </c>
      <c r="C718" s="157">
        <v>58.94</v>
      </c>
      <c r="D718" s="15"/>
      <c r="E718" s="157"/>
      <c r="G718" s="157"/>
    </row>
    <row r="719" spans="1:7" x14ac:dyDescent="0.25">
      <c r="A719" s="15">
        <v>43762</v>
      </c>
      <c r="B719" s="16">
        <v>0.53437500000000004</v>
      </c>
      <c r="C719" s="157">
        <v>59.34</v>
      </c>
      <c r="D719" s="15"/>
      <c r="E719" s="157"/>
      <c r="G719" s="157"/>
    </row>
    <row r="720" spans="1:7" x14ac:dyDescent="0.25">
      <c r="A720" s="15">
        <v>43763</v>
      </c>
      <c r="B720" s="16">
        <v>0.50249999999999995</v>
      </c>
      <c r="C720" s="157">
        <v>60</v>
      </c>
      <c r="D720" s="15"/>
      <c r="E720" s="157"/>
      <c r="G720" s="157"/>
    </row>
    <row r="721" spans="1:7" x14ac:dyDescent="0.25">
      <c r="A721" s="15">
        <v>43764</v>
      </c>
      <c r="B721" s="16">
        <v>0.50249999999999995</v>
      </c>
      <c r="C721" s="157">
        <v>60</v>
      </c>
      <c r="D721" s="15"/>
      <c r="E721" s="157"/>
      <c r="G721" s="157"/>
    </row>
    <row r="722" spans="1:7" x14ac:dyDescent="0.25">
      <c r="A722" s="15">
        <v>43765</v>
      </c>
      <c r="B722" s="16">
        <v>0.50249999999999995</v>
      </c>
      <c r="C722" s="157">
        <v>60</v>
      </c>
      <c r="D722" s="15"/>
      <c r="E722" s="157"/>
      <c r="G722" s="157"/>
    </row>
    <row r="723" spans="1:7" x14ac:dyDescent="0.25">
      <c r="A723" s="15">
        <v>43766</v>
      </c>
      <c r="B723" s="16">
        <v>0.53562500000000002</v>
      </c>
      <c r="C723" s="157">
        <v>59.47</v>
      </c>
      <c r="D723" s="15"/>
      <c r="E723" s="157"/>
      <c r="G723" s="157"/>
    </row>
    <row r="724" spans="1:7" x14ac:dyDescent="0.25">
      <c r="A724" s="15">
        <v>43767</v>
      </c>
      <c r="B724" s="16">
        <v>0.51124999999999998</v>
      </c>
      <c r="C724" s="157">
        <v>59.46</v>
      </c>
      <c r="D724" s="15"/>
      <c r="E724" s="157"/>
      <c r="G724" s="157"/>
    </row>
    <row r="725" spans="1:7" x14ac:dyDescent="0.25">
      <c r="A725" s="15">
        <v>43768</v>
      </c>
      <c r="B725" s="16">
        <v>0.50062499999999999</v>
      </c>
      <c r="C725" s="157">
        <v>59.58</v>
      </c>
      <c r="D725" s="15"/>
      <c r="E725" s="157"/>
      <c r="G725" s="157"/>
    </row>
    <row r="726" spans="1:7" x14ac:dyDescent="0.25">
      <c r="A726" s="15">
        <v>43769</v>
      </c>
      <c r="B726" s="16">
        <v>0.486875</v>
      </c>
      <c r="C726" s="157">
        <v>59.73</v>
      </c>
      <c r="D726" s="15"/>
      <c r="E726" s="157"/>
      <c r="G726" s="157"/>
    </row>
    <row r="727" spans="1:7" x14ac:dyDescent="0.25">
      <c r="A727" s="15">
        <v>43770</v>
      </c>
      <c r="B727" s="16">
        <v>0.484375</v>
      </c>
      <c r="C727" s="157">
        <v>59.76</v>
      </c>
      <c r="D727" s="15"/>
      <c r="E727" s="157"/>
      <c r="G727" s="157"/>
    </row>
    <row r="728" spans="1:7" x14ac:dyDescent="0.25">
      <c r="A728" s="15">
        <v>43773</v>
      </c>
      <c r="B728" s="16">
        <v>0.47687499999999999</v>
      </c>
      <c r="C728" s="157">
        <v>59.76</v>
      </c>
      <c r="D728" s="15"/>
      <c r="E728" s="157"/>
      <c r="G728" s="157"/>
    </row>
    <row r="729" spans="1:7" x14ac:dyDescent="0.25">
      <c r="A729" s="15">
        <v>43774</v>
      </c>
      <c r="B729" s="16">
        <v>0.47625000000000001</v>
      </c>
      <c r="C729" s="157">
        <v>59.68</v>
      </c>
      <c r="D729" s="15"/>
      <c r="E729" s="157"/>
      <c r="G729" s="157"/>
    </row>
    <row r="730" spans="1:7" x14ac:dyDescent="0.25">
      <c r="A730" s="15">
        <v>43776</v>
      </c>
      <c r="B730" s="16">
        <v>0.46500000000000002</v>
      </c>
      <c r="C730" s="157">
        <v>59.6</v>
      </c>
      <c r="D730" s="15"/>
      <c r="E730" s="157"/>
      <c r="G730" s="157"/>
    </row>
    <row r="731" spans="1:7" x14ac:dyDescent="0.25">
      <c r="A731" s="15">
        <v>43777</v>
      </c>
      <c r="B731" s="16">
        <v>0.47499999999999998</v>
      </c>
      <c r="C731" s="157">
        <v>59.54</v>
      </c>
      <c r="D731" s="15"/>
      <c r="E731" s="157"/>
      <c r="G731" s="157"/>
    </row>
    <row r="732" spans="1:7" x14ac:dyDescent="0.25">
      <c r="A732" s="15">
        <v>43780</v>
      </c>
      <c r="B732" s="16">
        <v>0.46500000000000002</v>
      </c>
      <c r="C732" s="157">
        <v>59.75</v>
      </c>
      <c r="D732" s="15"/>
      <c r="E732" s="157"/>
      <c r="G732" s="157"/>
    </row>
    <row r="733" spans="1:7" x14ac:dyDescent="0.25">
      <c r="A733" s="15">
        <v>43781</v>
      </c>
      <c r="B733" s="16">
        <v>0.46437499999999998</v>
      </c>
      <c r="C733" s="157">
        <v>59.75</v>
      </c>
      <c r="D733" s="15"/>
      <c r="E733" s="157"/>
      <c r="G733" s="157"/>
    </row>
    <row r="734" spans="1:7" x14ac:dyDescent="0.25">
      <c r="A734" s="15">
        <v>43782</v>
      </c>
      <c r="B734" s="16">
        <v>0.46250000000000002</v>
      </c>
      <c r="C734" s="157">
        <v>59.74</v>
      </c>
      <c r="D734" s="15"/>
      <c r="E734" s="157"/>
      <c r="G734" s="157"/>
    </row>
    <row r="735" spans="1:7" x14ac:dyDescent="0.25">
      <c r="A735" s="15">
        <v>43783</v>
      </c>
      <c r="B735" s="16">
        <v>0.45687499999999998</v>
      </c>
      <c r="C735" s="157">
        <v>59.73</v>
      </c>
      <c r="D735" s="15"/>
      <c r="E735" s="157"/>
      <c r="G735" s="157"/>
    </row>
    <row r="736" spans="1:7" x14ac:dyDescent="0.25">
      <c r="A736" s="15">
        <v>43784</v>
      </c>
      <c r="B736" s="16">
        <v>0.47187499999999999</v>
      </c>
      <c r="C736" s="157">
        <v>59.69</v>
      </c>
      <c r="D736" s="15"/>
      <c r="E736" s="157"/>
      <c r="G736" s="157"/>
    </row>
    <row r="737" spans="1:7" x14ac:dyDescent="0.25">
      <c r="A737" s="15">
        <v>43788</v>
      </c>
      <c r="B737" s="16">
        <v>0.45374999999999999</v>
      </c>
      <c r="C737" s="157">
        <v>59.71</v>
      </c>
      <c r="D737" s="15"/>
      <c r="E737" s="157"/>
      <c r="G737" s="157"/>
    </row>
    <row r="738" spans="1:7" x14ac:dyDescent="0.25">
      <c r="A738" s="15">
        <v>43789</v>
      </c>
      <c r="B738" s="16">
        <v>0.45124999999999998</v>
      </c>
      <c r="C738" s="157">
        <v>59.72</v>
      </c>
      <c r="D738" s="15"/>
      <c r="E738" s="157"/>
      <c r="G738" s="157"/>
    </row>
    <row r="739" spans="1:7" x14ac:dyDescent="0.25">
      <c r="A739" s="15">
        <v>43790</v>
      </c>
      <c r="B739" s="16">
        <v>0.453125</v>
      </c>
      <c r="C739" s="157">
        <v>59.75</v>
      </c>
      <c r="D739" s="15"/>
      <c r="E739" s="157"/>
      <c r="G739" s="157"/>
    </row>
    <row r="740" spans="1:7" x14ac:dyDescent="0.25">
      <c r="A740" s="15">
        <v>43791</v>
      </c>
      <c r="B740" s="16">
        <v>0.450625</v>
      </c>
      <c r="C740" s="157">
        <v>59.79</v>
      </c>
      <c r="D740" s="15"/>
      <c r="E740" s="157"/>
      <c r="G740" s="157"/>
    </row>
    <row r="741" spans="1:7" x14ac:dyDescent="0.25">
      <c r="A741" s="15">
        <v>43794</v>
      </c>
      <c r="B741" s="16">
        <v>0.44562499999999999</v>
      </c>
      <c r="C741" s="157">
        <v>59.75</v>
      </c>
      <c r="D741" s="15"/>
      <c r="E741" s="157"/>
      <c r="G741" s="157"/>
    </row>
    <row r="742" spans="1:7" x14ac:dyDescent="0.25">
      <c r="A742" s="15">
        <v>43795</v>
      </c>
      <c r="B742" s="16">
        <v>0.45374999999999999</v>
      </c>
      <c r="C742" s="157">
        <v>59.72</v>
      </c>
      <c r="D742" s="15"/>
      <c r="E742" s="157"/>
      <c r="G742" s="157"/>
    </row>
    <row r="743" spans="1:7" x14ac:dyDescent="0.25">
      <c r="A743" s="15">
        <v>43796</v>
      </c>
      <c r="B743" s="16">
        <v>0.44374999999999998</v>
      </c>
      <c r="C743" s="157">
        <v>59.88</v>
      </c>
      <c r="D743" s="15"/>
      <c r="E743" s="157"/>
      <c r="G743" s="157"/>
    </row>
    <row r="744" spans="1:7" x14ac:dyDescent="0.25">
      <c r="A744" s="15">
        <v>43797</v>
      </c>
      <c r="B744" s="16">
        <v>0.44562499999999999</v>
      </c>
      <c r="C744" s="157">
        <v>59.85</v>
      </c>
      <c r="D744" s="15"/>
      <c r="E744" s="157"/>
      <c r="G744" s="157"/>
    </row>
    <row r="745" spans="1:7" x14ac:dyDescent="0.25">
      <c r="A745" s="15">
        <v>43798</v>
      </c>
      <c r="B745" s="16">
        <v>0.44187500000000002</v>
      </c>
      <c r="C745" s="157">
        <v>59.86</v>
      </c>
      <c r="D745" s="15"/>
      <c r="E745" s="157"/>
      <c r="G745" s="157"/>
    </row>
    <row r="746" spans="1:7" x14ac:dyDescent="0.25">
      <c r="A746" s="15">
        <v>43801</v>
      </c>
      <c r="B746" s="16">
        <v>0.44187500000000002</v>
      </c>
      <c r="C746" s="157">
        <v>59.95</v>
      </c>
      <c r="D746" s="15"/>
      <c r="E746" s="157"/>
      <c r="G746" s="157"/>
    </row>
    <row r="747" spans="1:7" x14ac:dyDescent="0.25">
      <c r="A747" s="15">
        <v>43802</v>
      </c>
      <c r="B747" s="16">
        <v>0.44312499999999999</v>
      </c>
      <c r="C747" s="157">
        <v>59.94</v>
      </c>
      <c r="D747" s="15"/>
      <c r="E747" s="157"/>
      <c r="G747" s="157"/>
    </row>
    <row r="748" spans="1:7" x14ac:dyDescent="0.25">
      <c r="A748" s="15">
        <v>43803</v>
      </c>
      <c r="B748" s="16">
        <v>0.435</v>
      </c>
      <c r="C748" s="157">
        <v>59.91</v>
      </c>
      <c r="D748" s="15"/>
      <c r="E748" s="157"/>
      <c r="G748" s="157"/>
    </row>
    <row r="749" spans="1:7" x14ac:dyDescent="0.25">
      <c r="A749" s="15">
        <v>43804</v>
      </c>
      <c r="B749" s="16">
        <v>0.43937500000000002</v>
      </c>
      <c r="C749" s="157">
        <v>59.94</v>
      </c>
      <c r="D749" s="15"/>
      <c r="E749" s="157"/>
      <c r="G749" s="157"/>
    </row>
    <row r="750" spans="1:7" x14ac:dyDescent="0.25">
      <c r="A750" s="15">
        <v>43805</v>
      </c>
      <c r="B750" s="16">
        <v>0.426875</v>
      </c>
      <c r="C750" s="157">
        <v>59.96</v>
      </c>
      <c r="D750" s="15"/>
      <c r="E750" s="157"/>
      <c r="G750" s="157"/>
    </row>
    <row r="751" spans="1:7" x14ac:dyDescent="0.25">
      <c r="A751" s="15">
        <v>43808</v>
      </c>
      <c r="B751" s="16">
        <v>0.42499999999999999</v>
      </c>
      <c r="C751" s="157">
        <v>59.95</v>
      </c>
      <c r="D751" s="15"/>
      <c r="E751" s="157"/>
      <c r="G751" s="157"/>
    </row>
    <row r="752" spans="1:7" x14ac:dyDescent="0.25">
      <c r="A752" s="15">
        <v>43809</v>
      </c>
      <c r="B752" s="16">
        <v>0.42875000000000002</v>
      </c>
      <c r="C752" s="157">
        <v>59.96</v>
      </c>
      <c r="D752" s="15"/>
      <c r="E752" s="157"/>
      <c r="G752" s="157"/>
    </row>
    <row r="753" spans="1:7" x14ac:dyDescent="0.25">
      <c r="A753" s="15">
        <v>43810</v>
      </c>
      <c r="B753" s="16">
        <v>0.42312499999999997</v>
      </c>
      <c r="C753" s="157">
        <v>59.83</v>
      </c>
      <c r="D753" s="15"/>
      <c r="E753" s="157"/>
      <c r="G753" s="157"/>
    </row>
    <row r="754" spans="1:7" x14ac:dyDescent="0.25">
      <c r="A754" s="15">
        <v>43811</v>
      </c>
      <c r="B754" s="16">
        <v>0.42312499999999997</v>
      </c>
      <c r="C754" s="157">
        <v>59.83</v>
      </c>
      <c r="D754" s="15"/>
      <c r="E754" s="157"/>
      <c r="G754" s="157"/>
    </row>
    <row r="755" spans="1:7" x14ac:dyDescent="0.25">
      <c r="A755" s="15">
        <v>43812</v>
      </c>
      <c r="B755" s="16">
        <v>0.41875000000000001</v>
      </c>
      <c r="C755" s="157">
        <v>59.82</v>
      </c>
      <c r="D755" s="15"/>
      <c r="E755" s="157"/>
      <c r="G755" s="157"/>
    </row>
    <row r="756" spans="1:7" x14ac:dyDescent="0.25">
      <c r="A756" s="15">
        <v>43815</v>
      </c>
      <c r="B756" s="16">
        <v>0.41625000000000001</v>
      </c>
      <c r="C756" s="157">
        <v>59.84</v>
      </c>
      <c r="D756" s="15"/>
      <c r="E756" s="157"/>
      <c r="G756" s="157"/>
    </row>
    <row r="757" spans="1:7" x14ac:dyDescent="0.25">
      <c r="A757" s="15">
        <v>43816</v>
      </c>
      <c r="B757" s="16">
        <v>0.41249999999999998</v>
      </c>
      <c r="C757" s="157">
        <v>59.82</v>
      </c>
      <c r="D757" s="15"/>
      <c r="E757" s="157"/>
      <c r="G757" s="157"/>
    </row>
    <row r="758" spans="1:7" x14ac:dyDescent="0.25">
      <c r="A758" s="15">
        <v>43817</v>
      </c>
      <c r="B758" s="16">
        <v>0.41625000000000001</v>
      </c>
      <c r="C758" s="157">
        <v>59.82</v>
      </c>
      <c r="D758" s="15"/>
      <c r="E758" s="157"/>
      <c r="G758" s="157"/>
    </row>
    <row r="759" spans="1:7" x14ac:dyDescent="0.25">
      <c r="A759" s="15">
        <v>43818</v>
      </c>
      <c r="B759" s="16">
        <v>0.40875</v>
      </c>
      <c r="C759" s="157">
        <v>59.82</v>
      </c>
      <c r="D759" s="15"/>
      <c r="E759" s="157"/>
      <c r="G759" s="157"/>
    </row>
    <row r="760" spans="1:7" x14ac:dyDescent="0.25">
      <c r="A760" s="15">
        <v>43819</v>
      </c>
      <c r="B760" s="16">
        <v>0.40500000000000003</v>
      </c>
      <c r="C760" s="157">
        <v>59.82</v>
      </c>
      <c r="D760" s="15"/>
      <c r="E760" s="157"/>
      <c r="G760" s="157"/>
    </row>
    <row r="761" spans="1:7" x14ac:dyDescent="0.25">
      <c r="A761" s="15">
        <v>43822</v>
      </c>
      <c r="B761" s="16">
        <v>0.40749999999999997</v>
      </c>
      <c r="C761" s="157">
        <v>59.86</v>
      </c>
      <c r="D761" s="15"/>
      <c r="E761" s="157"/>
      <c r="G761" s="157"/>
    </row>
    <row r="762" spans="1:7" x14ac:dyDescent="0.25">
      <c r="A762" s="15">
        <v>43824</v>
      </c>
      <c r="B762" s="16">
        <v>0.40749999999999997</v>
      </c>
      <c r="C762" s="157">
        <v>59.86</v>
      </c>
      <c r="D762" s="15"/>
      <c r="E762" s="157"/>
      <c r="G762" s="157"/>
    </row>
    <row r="763" spans="1:7" x14ac:dyDescent="0.25">
      <c r="A763" s="15">
        <v>43825</v>
      </c>
      <c r="B763" s="16">
        <v>0.40250000000000002</v>
      </c>
      <c r="C763" s="157">
        <v>59.92</v>
      </c>
      <c r="D763" s="15"/>
      <c r="E763" s="157"/>
      <c r="G763" s="157"/>
    </row>
    <row r="764" spans="1:7" x14ac:dyDescent="0.25">
      <c r="A764" s="15">
        <v>43826</v>
      </c>
      <c r="B764" s="16">
        <v>0.40312500000000001</v>
      </c>
      <c r="C764" s="157">
        <v>59.89</v>
      </c>
      <c r="D764" s="15"/>
      <c r="E764" s="157"/>
      <c r="G764" s="157"/>
    </row>
    <row r="765" spans="1:7" x14ac:dyDescent="0.25">
      <c r="A765" s="15">
        <v>43829</v>
      </c>
      <c r="B765" s="16">
        <v>0.39437499999999998</v>
      </c>
      <c r="C765" s="157">
        <v>59.9</v>
      </c>
      <c r="D765" s="15"/>
      <c r="E765" s="157"/>
      <c r="G765" s="157"/>
    </row>
    <row r="766" spans="1:7" x14ac:dyDescent="0.25">
      <c r="A766" s="15">
        <v>43832</v>
      </c>
      <c r="B766" s="16">
        <v>0.38874999999999998</v>
      </c>
      <c r="C766" s="157">
        <v>59.85</v>
      </c>
      <c r="D766" s="15"/>
      <c r="E766" s="157"/>
      <c r="G766" s="157"/>
    </row>
    <row r="767" spans="1:7" x14ac:dyDescent="0.25">
      <c r="A767" s="15">
        <v>43833</v>
      </c>
      <c r="B767" s="16">
        <v>0.38750000000000001</v>
      </c>
      <c r="C767" s="157">
        <v>59.83</v>
      </c>
      <c r="D767" s="15"/>
      <c r="E767" s="157"/>
      <c r="G767" s="157"/>
    </row>
    <row r="768" spans="1:7" x14ac:dyDescent="0.25">
      <c r="A768" s="15">
        <v>43836</v>
      </c>
      <c r="B768" s="16">
        <v>0.38750000000000001</v>
      </c>
      <c r="C768" s="157">
        <v>59.82</v>
      </c>
      <c r="D768" s="15"/>
      <c r="E768" s="157"/>
      <c r="G768" s="157"/>
    </row>
    <row r="769" spans="1:7" x14ac:dyDescent="0.25">
      <c r="A769" s="15">
        <v>43837</v>
      </c>
      <c r="B769" s="16">
        <v>0.38250000000000001</v>
      </c>
      <c r="C769" s="157">
        <v>59.82</v>
      </c>
      <c r="D769" s="15"/>
      <c r="E769" s="157"/>
      <c r="G769" s="157"/>
    </row>
    <row r="770" spans="1:7" x14ac:dyDescent="0.25">
      <c r="A770" s="15">
        <v>43838</v>
      </c>
      <c r="B770" s="16">
        <v>0.37562499999999999</v>
      </c>
      <c r="C770" s="157">
        <v>59.82</v>
      </c>
      <c r="D770" s="15"/>
      <c r="E770" s="157"/>
      <c r="G770" s="157"/>
    </row>
    <row r="771" spans="1:7" x14ac:dyDescent="0.25">
      <c r="A771" s="15">
        <v>43839</v>
      </c>
      <c r="B771" s="16">
        <v>0.38</v>
      </c>
      <c r="C771" s="157">
        <v>59.82</v>
      </c>
      <c r="D771" s="15"/>
      <c r="E771" s="157"/>
      <c r="G771" s="157"/>
    </row>
    <row r="772" spans="1:7" x14ac:dyDescent="0.25">
      <c r="A772" s="15">
        <v>43840</v>
      </c>
      <c r="B772" s="16">
        <v>0.37562499999999999</v>
      </c>
      <c r="C772" s="157">
        <v>59.82</v>
      </c>
      <c r="D772" s="15"/>
      <c r="E772" s="157"/>
      <c r="G772" s="157"/>
    </row>
    <row r="773" spans="1:7" x14ac:dyDescent="0.25">
      <c r="A773" s="15">
        <v>43843</v>
      </c>
      <c r="B773" s="16">
        <v>0.37125000000000002</v>
      </c>
      <c r="C773" s="157">
        <v>59.88</v>
      </c>
      <c r="D773" s="15"/>
      <c r="E773" s="157"/>
      <c r="G773" s="157"/>
    </row>
    <row r="774" spans="1:7" x14ac:dyDescent="0.25">
      <c r="A774" s="15">
        <v>43844</v>
      </c>
      <c r="B774" s="16">
        <v>0.36499999999999999</v>
      </c>
      <c r="C774" s="157">
        <v>60.04</v>
      </c>
      <c r="D774" s="15"/>
      <c r="E774" s="157"/>
      <c r="G774" s="157"/>
    </row>
    <row r="775" spans="1:7" x14ac:dyDescent="0.25">
      <c r="A775" s="15">
        <v>43845</v>
      </c>
      <c r="B775" s="16">
        <v>0.36312499999999998</v>
      </c>
      <c r="C775" s="157">
        <v>60.01</v>
      </c>
      <c r="D775" s="15"/>
      <c r="E775" s="157"/>
      <c r="G775" s="157"/>
    </row>
    <row r="776" spans="1:7" x14ac:dyDescent="0.25">
      <c r="A776" s="15">
        <v>43846</v>
      </c>
      <c r="B776" s="16">
        <v>0.36125000000000002</v>
      </c>
      <c r="C776" s="157">
        <v>60</v>
      </c>
      <c r="D776" s="15"/>
      <c r="E776" s="157"/>
      <c r="G776" s="157"/>
    </row>
    <row r="777" spans="1:7" x14ac:dyDescent="0.25">
      <c r="A777" s="15">
        <v>43847</v>
      </c>
      <c r="B777" s="16">
        <v>0.35375000000000001</v>
      </c>
      <c r="C777" s="157">
        <v>60.01</v>
      </c>
      <c r="D777" s="15"/>
      <c r="E777" s="157"/>
      <c r="G777" s="157"/>
    </row>
    <row r="778" spans="1:7" x14ac:dyDescent="0.25">
      <c r="A778" s="15">
        <v>43850</v>
      </c>
      <c r="B778" s="16">
        <v>0.35375000000000001</v>
      </c>
      <c r="C778" s="157">
        <v>60.03</v>
      </c>
      <c r="D778" s="15"/>
      <c r="E778" s="157"/>
      <c r="G778" s="157"/>
    </row>
    <row r="779" spans="1:7" x14ac:dyDescent="0.25">
      <c r="A779" s="15">
        <v>43851</v>
      </c>
      <c r="B779" s="16">
        <v>0.34937499999999999</v>
      </c>
      <c r="C779" s="157">
        <v>60.06</v>
      </c>
      <c r="D779" s="15"/>
      <c r="E779" s="157"/>
      <c r="G779" s="157"/>
    </row>
    <row r="780" spans="1:7" x14ac:dyDescent="0.25">
      <c r="A780" s="15">
        <v>43852</v>
      </c>
      <c r="B780" s="16">
        <v>0.34937499999999999</v>
      </c>
      <c r="C780" s="157">
        <v>60.11</v>
      </c>
      <c r="D780" s="15"/>
      <c r="E780" s="157"/>
      <c r="G780" s="157"/>
    </row>
    <row r="781" spans="1:7" x14ac:dyDescent="0.25">
      <c r="A781" s="15">
        <v>43853</v>
      </c>
      <c r="B781" s="16">
        <v>0.34562500000000002</v>
      </c>
      <c r="C781" s="157">
        <v>60.09</v>
      </c>
      <c r="D781" s="15"/>
      <c r="E781" s="157"/>
      <c r="G781" s="157"/>
    </row>
    <row r="782" spans="1:7" x14ac:dyDescent="0.25">
      <c r="A782" s="15">
        <v>43854</v>
      </c>
      <c r="B782" s="16">
        <v>0.34875</v>
      </c>
      <c r="C782" s="157">
        <v>60.1</v>
      </c>
      <c r="D782" s="15"/>
      <c r="E782" s="157"/>
      <c r="G782" s="157"/>
    </row>
    <row r="783" spans="1:7" x14ac:dyDescent="0.25">
      <c r="A783" s="15">
        <v>43857</v>
      </c>
      <c r="B783" s="16">
        <v>0.34312500000000001</v>
      </c>
      <c r="C783" s="157">
        <v>60.14</v>
      </c>
      <c r="D783" s="15"/>
      <c r="E783" s="157"/>
      <c r="G783" s="157"/>
    </row>
    <row r="784" spans="1:7" x14ac:dyDescent="0.25">
      <c r="A784" s="15">
        <v>43858</v>
      </c>
      <c r="B784" s="16">
        <v>0.34499999999999997</v>
      </c>
      <c r="C784" s="157">
        <v>60.18</v>
      </c>
      <c r="D784" s="15"/>
      <c r="E784" s="157"/>
      <c r="G784" s="157"/>
    </row>
    <row r="785" spans="1:7" x14ac:dyDescent="0.25">
      <c r="A785" s="15">
        <v>43859</v>
      </c>
      <c r="B785" s="16">
        <v>0.34312500000000001</v>
      </c>
      <c r="C785" s="157">
        <v>60.24</v>
      </c>
      <c r="D785" s="15"/>
      <c r="E785" s="157"/>
      <c r="G785" s="157"/>
    </row>
    <row r="786" spans="1:7" x14ac:dyDescent="0.25">
      <c r="A786" s="15">
        <v>43860</v>
      </c>
      <c r="B786" s="16">
        <v>0.34312500000000001</v>
      </c>
      <c r="C786" s="157">
        <v>60.25</v>
      </c>
      <c r="D786" s="15"/>
      <c r="E786" s="157"/>
      <c r="F786" s="17"/>
      <c r="G786" s="157"/>
    </row>
    <row r="787" spans="1:7" x14ac:dyDescent="0.25">
      <c r="A787" s="15">
        <v>43861</v>
      </c>
      <c r="B787" s="16">
        <v>0.34</v>
      </c>
      <c r="C787" s="157">
        <v>60.33</v>
      </c>
      <c r="D787" s="15"/>
      <c r="E787" s="157"/>
      <c r="F787" s="17"/>
      <c r="G787" s="157"/>
    </row>
    <row r="788" spans="1:7" x14ac:dyDescent="0.25">
      <c r="A788" s="15">
        <v>43864</v>
      </c>
      <c r="B788" s="16">
        <v>0.34312500000000001</v>
      </c>
      <c r="C788" s="157">
        <v>60.43</v>
      </c>
      <c r="D788" s="15"/>
      <c r="E788" s="157"/>
      <c r="F788" s="17"/>
      <c r="G788" s="157"/>
    </row>
    <row r="789" spans="1:7" x14ac:dyDescent="0.25">
      <c r="A789" s="15">
        <v>43865</v>
      </c>
      <c r="B789" s="16">
        <v>0.34687499999999999</v>
      </c>
      <c r="C789" s="157">
        <v>60.58</v>
      </c>
      <c r="D789" s="15"/>
      <c r="E789" s="157"/>
      <c r="F789" s="17"/>
      <c r="G789" s="157"/>
    </row>
    <row r="790" spans="1:7" x14ac:dyDescent="0.25">
      <c r="A790" s="15">
        <v>43866</v>
      </c>
      <c r="B790" s="16">
        <v>0.34250000000000003</v>
      </c>
      <c r="C790" s="157">
        <v>60.58</v>
      </c>
      <c r="D790" s="15"/>
      <c r="E790" s="157"/>
      <c r="F790" s="17"/>
      <c r="G790" s="157"/>
    </row>
    <row r="791" spans="1:7" x14ac:dyDescent="0.25">
      <c r="A791" s="15">
        <v>43867</v>
      </c>
      <c r="B791" s="16">
        <v>0.34687499999999999</v>
      </c>
      <c r="C791" s="157">
        <v>60.67</v>
      </c>
      <c r="D791" s="15"/>
      <c r="E791" s="157"/>
      <c r="F791" s="17"/>
      <c r="G791" s="157"/>
    </row>
    <row r="792" spans="1:7" x14ac:dyDescent="0.25">
      <c r="A792" s="15">
        <v>43868</v>
      </c>
      <c r="B792" s="16">
        <v>0.34125</v>
      </c>
      <c r="C792" s="157">
        <v>60.77</v>
      </c>
      <c r="D792" s="15"/>
      <c r="E792" s="157"/>
      <c r="F792" s="17"/>
      <c r="G792" s="157"/>
    </row>
    <row r="793" spans="1:7" x14ac:dyDescent="0.25">
      <c r="A793" s="15">
        <v>43871</v>
      </c>
      <c r="B793" s="16">
        <v>0.34499999999999997</v>
      </c>
      <c r="C793" s="157">
        <v>60.97</v>
      </c>
      <c r="D793" s="15"/>
      <c r="E793" s="157"/>
      <c r="F793" s="17"/>
      <c r="G793" s="157"/>
    </row>
    <row r="794" spans="1:7" x14ac:dyDescent="0.25">
      <c r="A794" s="15">
        <v>43872</v>
      </c>
      <c r="B794" s="16">
        <v>0.35187499999999999</v>
      </c>
      <c r="C794" s="157">
        <v>61.11</v>
      </c>
      <c r="D794" s="15"/>
      <c r="E794" s="157"/>
      <c r="F794" s="17"/>
      <c r="G794" s="157"/>
    </row>
    <row r="795" spans="1:7" x14ac:dyDescent="0.25">
      <c r="A795" s="15">
        <v>43873</v>
      </c>
      <c r="B795" s="16">
        <v>0.34375</v>
      </c>
      <c r="C795" s="157">
        <v>61.23</v>
      </c>
      <c r="D795" s="15"/>
      <c r="E795" s="157"/>
      <c r="G795" s="157"/>
    </row>
    <row r="796" spans="1:7" x14ac:dyDescent="0.25">
      <c r="A796" s="15">
        <v>43874</v>
      </c>
      <c r="B796" s="16">
        <v>0.35249999999999998</v>
      </c>
      <c r="C796" s="157">
        <v>61.38</v>
      </c>
      <c r="D796" s="15"/>
      <c r="E796" s="157"/>
      <c r="G796" s="157"/>
    </row>
    <row r="797" spans="1:7" x14ac:dyDescent="0.25">
      <c r="A797" s="15">
        <v>43875</v>
      </c>
      <c r="B797" s="16">
        <v>0.34062500000000001</v>
      </c>
      <c r="C797" s="157">
        <v>61.45</v>
      </c>
      <c r="D797" s="15"/>
      <c r="E797" s="157"/>
      <c r="G797" s="157"/>
    </row>
    <row r="798" spans="1:7" x14ac:dyDescent="0.25">
      <c r="A798" s="15">
        <v>43878</v>
      </c>
      <c r="B798" s="16">
        <v>0.33937499999999998</v>
      </c>
      <c r="C798" s="157">
        <v>61.66</v>
      </c>
      <c r="D798" s="15"/>
      <c r="E798" s="157"/>
      <c r="G798" s="157"/>
    </row>
    <row r="799" spans="1:7" x14ac:dyDescent="0.25">
      <c r="A799" s="15">
        <v>43879</v>
      </c>
      <c r="B799" s="16">
        <v>0.32874999999999999</v>
      </c>
      <c r="C799" s="157">
        <v>61.66</v>
      </c>
      <c r="D799" s="15"/>
      <c r="E799" s="157"/>
      <c r="G799" s="157"/>
    </row>
    <row r="800" spans="1:7" x14ac:dyDescent="0.25">
      <c r="A800" s="15">
        <v>43880</v>
      </c>
      <c r="B800" s="16">
        <v>0.33437499999999998</v>
      </c>
      <c r="C800" s="157">
        <v>61.72</v>
      </c>
      <c r="D800" s="15"/>
      <c r="E800" s="157"/>
      <c r="G800" s="157"/>
    </row>
    <row r="801" spans="1:7" x14ac:dyDescent="0.25">
      <c r="A801" s="15">
        <v>43881</v>
      </c>
      <c r="B801" s="16">
        <v>0.33</v>
      </c>
      <c r="C801" s="157">
        <v>61.79</v>
      </c>
      <c r="D801" s="15"/>
      <c r="E801" s="157"/>
      <c r="G801" s="157"/>
    </row>
    <row r="802" spans="1:7" x14ac:dyDescent="0.25">
      <c r="A802" s="15">
        <v>43882</v>
      </c>
      <c r="B802" s="16">
        <v>0.31874999999999998</v>
      </c>
      <c r="C802" s="157">
        <v>61.83</v>
      </c>
      <c r="D802" s="15"/>
      <c r="E802" s="157"/>
      <c r="G802" s="157"/>
    </row>
    <row r="803" spans="1:7" x14ac:dyDescent="0.25">
      <c r="A803" s="15">
        <v>43887</v>
      </c>
      <c r="B803" s="16">
        <v>0.31125000000000003</v>
      </c>
      <c r="C803" s="157">
        <v>62.08</v>
      </c>
      <c r="D803" s="15"/>
      <c r="E803" s="157"/>
      <c r="G803" s="157"/>
    </row>
    <row r="804" spans="1:7" x14ac:dyDescent="0.25">
      <c r="A804" s="15">
        <v>43888</v>
      </c>
      <c r="B804" s="16">
        <v>0.31062499999999998</v>
      </c>
      <c r="C804" s="157">
        <v>62.14</v>
      </c>
      <c r="D804" s="15"/>
      <c r="E804" s="157"/>
      <c r="G804" s="157"/>
    </row>
    <row r="805" spans="1:7" x14ac:dyDescent="0.25">
      <c r="A805" s="15">
        <v>43889</v>
      </c>
      <c r="B805" s="16">
        <v>0.31812499999999999</v>
      </c>
      <c r="C805" s="157">
        <v>62.21</v>
      </c>
      <c r="D805" s="15"/>
      <c r="E805" s="157"/>
      <c r="G805" s="157"/>
    </row>
    <row r="806" spans="1:7" x14ac:dyDescent="0.25">
      <c r="A806" s="15">
        <v>43892</v>
      </c>
      <c r="B806" s="16">
        <v>0.31</v>
      </c>
      <c r="C806" s="157">
        <v>62.25</v>
      </c>
      <c r="D806" s="15"/>
      <c r="E806" s="157"/>
      <c r="G806" s="157"/>
    </row>
    <row r="807" spans="1:7" x14ac:dyDescent="0.25">
      <c r="A807" s="15">
        <v>43893</v>
      </c>
      <c r="B807" s="16">
        <v>0.31187500000000001</v>
      </c>
      <c r="C807" s="157">
        <v>62.3</v>
      </c>
      <c r="D807" s="15"/>
      <c r="E807" s="157"/>
      <c r="G807" s="157"/>
    </row>
    <row r="808" spans="1:7" x14ac:dyDescent="0.25">
      <c r="A808" s="15">
        <v>43894</v>
      </c>
      <c r="B808" s="16">
        <v>0.30499999999999999</v>
      </c>
      <c r="C808" s="157">
        <v>62.36</v>
      </c>
      <c r="D808" s="15"/>
      <c r="E808" s="157"/>
      <c r="G808" s="157"/>
    </row>
    <row r="809" spans="1:7" x14ac:dyDescent="0.25">
      <c r="A809" s="15">
        <v>43895</v>
      </c>
      <c r="B809" s="16">
        <v>0.30437500000000001</v>
      </c>
      <c r="C809" s="157">
        <v>62.42</v>
      </c>
      <c r="D809" s="15"/>
      <c r="E809" s="157"/>
      <c r="G809" s="157"/>
    </row>
    <row r="810" spans="1:7" x14ac:dyDescent="0.25">
      <c r="A810" s="15">
        <v>43896</v>
      </c>
      <c r="B810" s="16">
        <v>0.29875000000000002</v>
      </c>
      <c r="C810" s="157">
        <v>62.48</v>
      </c>
      <c r="D810" s="15"/>
      <c r="E810" s="157"/>
      <c r="G810" s="157"/>
    </row>
    <row r="811" spans="1:7" x14ac:dyDescent="0.25">
      <c r="A811" s="15">
        <v>43899</v>
      </c>
      <c r="B811" s="16">
        <v>0.29562500000000003</v>
      </c>
      <c r="C811" s="157">
        <v>62.53</v>
      </c>
      <c r="D811" s="15"/>
      <c r="E811" s="157"/>
      <c r="G811" s="157"/>
    </row>
    <row r="812" spans="1:7" x14ac:dyDescent="0.25">
      <c r="A812" s="15">
        <v>43900</v>
      </c>
      <c r="B812" s="16">
        <v>0.29749999999999999</v>
      </c>
      <c r="C812" s="157">
        <v>62.59</v>
      </c>
      <c r="D812" s="15"/>
      <c r="E812" s="157"/>
      <c r="G812" s="157"/>
    </row>
    <row r="813" spans="1:7" x14ac:dyDescent="0.25">
      <c r="A813" s="15">
        <v>43901</v>
      </c>
      <c r="B813" s="16">
        <v>0.29812499999999997</v>
      </c>
      <c r="C813" s="157">
        <v>62.67</v>
      </c>
      <c r="D813" s="15"/>
      <c r="E813" s="157"/>
      <c r="G813" s="157"/>
    </row>
    <row r="814" spans="1:7" x14ac:dyDescent="0.25">
      <c r="A814" s="15">
        <v>43902</v>
      </c>
      <c r="B814" s="16">
        <v>0.29499999999999998</v>
      </c>
      <c r="C814" s="157">
        <v>62.82</v>
      </c>
      <c r="D814" s="15"/>
      <c r="E814" s="157"/>
      <c r="G814" s="157"/>
    </row>
    <row r="815" spans="1:7" x14ac:dyDescent="0.25">
      <c r="A815" s="15">
        <v>43903</v>
      </c>
      <c r="B815" s="16">
        <v>0.29312500000000002</v>
      </c>
      <c r="C815" s="157">
        <v>62.9</v>
      </c>
      <c r="D815" s="15"/>
      <c r="E815" s="157"/>
      <c r="G815" s="157"/>
    </row>
    <row r="816" spans="1:7" x14ac:dyDescent="0.25">
      <c r="A816" s="15">
        <v>43906</v>
      </c>
      <c r="B816" s="16">
        <v>0.29499999999999998</v>
      </c>
      <c r="C816" s="157">
        <v>63.04</v>
      </c>
      <c r="D816" s="15"/>
      <c r="E816" s="157"/>
      <c r="G816" s="157"/>
    </row>
    <row r="817" spans="1:8" x14ac:dyDescent="0.25">
      <c r="A817" s="15">
        <v>43907</v>
      </c>
      <c r="B817" s="16">
        <v>0.29499999999999998</v>
      </c>
      <c r="C817" s="157">
        <v>63.18</v>
      </c>
      <c r="D817" s="15"/>
      <c r="E817" s="157"/>
      <c r="G817" s="157"/>
    </row>
    <row r="818" spans="1:8" x14ac:dyDescent="0.25">
      <c r="A818" s="15">
        <v>43908</v>
      </c>
      <c r="B818" s="16">
        <v>0.29499999999999998</v>
      </c>
      <c r="C818" s="157">
        <v>63.33</v>
      </c>
      <c r="D818" s="15"/>
      <c r="E818" s="157"/>
      <c r="G818" s="157"/>
    </row>
    <row r="819" spans="1:8" x14ac:dyDescent="0.25">
      <c r="A819" s="15">
        <v>43909</v>
      </c>
      <c r="B819" s="16">
        <v>0.29312500000000002</v>
      </c>
      <c r="C819" s="157">
        <v>63.55</v>
      </c>
      <c r="D819" s="15"/>
      <c r="E819" s="157"/>
      <c r="G819" s="157"/>
    </row>
    <row r="820" spans="1:8" x14ac:dyDescent="0.25">
      <c r="A820" s="15">
        <v>43910</v>
      </c>
      <c r="B820" s="16">
        <v>0.28999999999999998</v>
      </c>
      <c r="C820" s="157">
        <v>63.77</v>
      </c>
      <c r="D820" s="15"/>
      <c r="E820" s="157"/>
      <c r="G820" s="157"/>
    </row>
    <row r="821" spans="1:8" x14ac:dyDescent="0.25">
      <c r="A821" s="15">
        <v>43915</v>
      </c>
      <c r="B821" s="16">
        <v>0.29312500000000002</v>
      </c>
      <c r="C821" s="157">
        <v>64.05</v>
      </c>
      <c r="D821" s="15"/>
      <c r="E821" s="157"/>
      <c r="G821" s="157"/>
    </row>
    <row r="822" spans="1:8" x14ac:dyDescent="0.25">
      <c r="A822" s="15">
        <v>43916</v>
      </c>
      <c r="B822" s="16">
        <v>0.29375000000000001</v>
      </c>
      <c r="C822" s="157">
        <v>64.23</v>
      </c>
      <c r="D822" s="15"/>
      <c r="E822" s="157"/>
      <c r="G822" s="157"/>
    </row>
    <row r="823" spans="1:8" x14ac:dyDescent="0.25">
      <c r="A823" s="15">
        <v>43917</v>
      </c>
      <c r="B823" s="16">
        <v>0.27750000000000002</v>
      </c>
      <c r="C823" s="157">
        <v>64.41</v>
      </c>
      <c r="D823" s="15"/>
      <c r="E823" s="157"/>
      <c r="G823" s="157"/>
    </row>
    <row r="824" spans="1:8" x14ac:dyDescent="0.25">
      <c r="A824" s="15">
        <v>43920</v>
      </c>
      <c r="B824" s="16">
        <v>0.27562500000000001</v>
      </c>
      <c r="C824" s="157">
        <v>64.47</v>
      </c>
      <c r="D824" s="15"/>
      <c r="E824" s="157"/>
      <c r="G824" s="15"/>
      <c r="H824" s="16"/>
    </row>
    <row r="825" spans="1:8" x14ac:dyDescent="0.25">
      <c r="A825" s="15">
        <v>43921</v>
      </c>
      <c r="B825" s="16">
        <v>0.27</v>
      </c>
      <c r="C825" s="157">
        <v>64.47</v>
      </c>
      <c r="D825" s="15"/>
      <c r="E825" s="157"/>
      <c r="G825" s="15"/>
      <c r="H825" s="16"/>
    </row>
    <row r="826" spans="1:8" x14ac:dyDescent="0.25">
      <c r="A826" s="15">
        <v>43922</v>
      </c>
      <c r="B826" s="16">
        <v>0.27</v>
      </c>
      <c r="C826" s="157">
        <v>64.53</v>
      </c>
      <c r="D826" s="15"/>
      <c r="E826" s="157"/>
      <c r="G826" s="15"/>
      <c r="H826" s="16"/>
    </row>
    <row r="827" spans="1:8" x14ac:dyDescent="0.25">
      <c r="A827" s="15">
        <f>+WORKDAY.INTL(A826,1,1,)</f>
        <v>43923</v>
      </c>
      <c r="B827" s="16">
        <v>0.26124999999999998</v>
      </c>
      <c r="C827" s="157">
        <v>64.72</v>
      </c>
      <c r="D827" s="15"/>
      <c r="E827" s="157"/>
      <c r="G827" s="15"/>
      <c r="H827" s="16"/>
    </row>
    <row r="828" spans="1:8" x14ac:dyDescent="0.25">
      <c r="A828" s="15">
        <f t="shared" ref="A828:A891" si="0">+WORKDAY.INTL(A827,1,1,)</f>
        <v>43924</v>
      </c>
      <c r="B828" s="16">
        <v>0.25750000000000001</v>
      </c>
      <c r="C828" s="157">
        <v>64.91</v>
      </c>
      <c r="D828" s="15"/>
      <c r="E828" s="157"/>
      <c r="G828" s="15"/>
      <c r="H828" s="16"/>
    </row>
    <row r="829" spans="1:8" x14ac:dyDescent="0.25">
      <c r="A829" s="15">
        <f t="shared" si="0"/>
        <v>43927</v>
      </c>
      <c r="B829" s="16">
        <v>0.25124999999999997</v>
      </c>
      <c r="C829" s="157">
        <v>64.989999999999995</v>
      </c>
      <c r="D829" s="15"/>
      <c r="E829" s="157"/>
      <c r="G829" s="15"/>
      <c r="H829" s="16"/>
    </row>
    <row r="830" spans="1:8" x14ac:dyDescent="0.25">
      <c r="A830" s="15">
        <f t="shared" si="0"/>
        <v>43928</v>
      </c>
      <c r="B830" s="16">
        <v>0.230625</v>
      </c>
      <c r="C830" s="157">
        <v>65.069999999999993</v>
      </c>
      <c r="D830" s="15"/>
      <c r="E830" s="157"/>
      <c r="G830" s="15"/>
      <c r="H830" s="16"/>
    </row>
    <row r="831" spans="1:8" x14ac:dyDescent="0.25">
      <c r="A831" s="15">
        <f t="shared" si="0"/>
        <v>43929</v>
      </c>
      <c r="B831" s="16">
        <v>0.21937499999999999</v>
      </c>
      <c r="C831" s="157">
        <v>65.16</v>
      </c>
      <c r="D831" s="15"/>
      <c r="E831" s="157"/>
      <c r="G831" s="15"/>
      <c r="H831" s="16"/>
    </row>
    <row r="832" spans="1:8" x14ac:dyDescent="0.25">
      <c r="A832" s="15">
        <f t="shared" si="0"/>
        <v>43930</v>
      </c>
      <c r="B832" s="16">
        <v>0.21937499999999999</v>
      </c>
      <c r="C832" s="157">
        <v>65.16</v>
      </c>
      <c r="D832" s="15"/>
      <c r="E832" s="157"/>
      <c r="G832" s="15"/>
      <c r="H832" s="16"/>
    </row>
    <row r="833" spans="1:8" x14ac:dyDescent="0.25">
      <c r="A833" s="15">
        <f t="shared" si="0"/>
        <v>43931</v>
      </c>
      <c r="B833" s="16">
        <v>0.21937499999999999</v>
      </c>
      <c r="C833" s="157">
        <v>65.16</v>
      </c>
      <c r="D833" s="15"/>
      <c r="E833" s="157"/>
      <c r="G833" s="15"/>
      <c r="H833" s="16"/>
    </row>
    <row r="834" spans="1:8" x14ac:dyDescent="0.25">
      <c r="A834" s="15">
        <f t="shared" si="0"/>
        <v>43934</v>
      </c>
      <c r="B834" s="16">
        <v>0.21</v>
      </c>
      <c r="C834" s="157">
        <v>65.38</v>
      </c>
      <c r="D834" s="15"/>
      <c r="E834" s="157"/>
      <c r="G834" s="15"/>
      <c r="H834" s="16"/>
    </row>
    <row r="835" spans="1:8" x14ac:dyDescent="0.25">
      <c r="A835" s="15">
        <f t="shared" si="0"/>
        <v>43935</v>
      </c>
      <c r="B835" s="16">
        <v>0.18124999999999999</v>
      </c>
      <c r="C835" s="157">
        <v>65.5</v>
      </c>
      <c r="D835" s="15"/>
      <c r="E835" s="157"/>
      <c r="G835" s="157"/>
    </row>
    <row r="836" spans="1:8" x14ac:dyDescent="0.25">
      <c r="A836" s="15">
        <f t="shared" si="0"/>
        <v>43936</v>
      </c>
      <c r="B836" s="16">
        <v>0.1825</v>
      </c>
      <c r="C836" s="157">
        <v>65.62</v>
      </c>
      <c r="D836" s="15"/>
      <c r="E836" s="157"/>
      <c r="G836" s="157"/>
    </row>
    <row r="837" spans="1:8" x14ac:dyDescent="0.25">
      <c r="A837" s="15">
        <f t="shared" si="0"/>
        <v>43937</v>
      </c>
      <c r="B837" s="16">
        <v>0.16875000000000001</v>
      </c>
      <c r="C837" s="157">
        <v>65.739999999999995</v>
      </c>
      <c r="D837" s="15"/>
      <c r="E837" s="157"/>
      <c r="G837" s="157"/>
    </row>
    <row r="838" spans="1:8" x14ac:dyDescent="0.25">
      <c r="A838" s="15">
        <f t="shared" si="0"/>
        <v>43938</v>
      </c>
      <c r="B838" s="16">
        <v>0.16875000000000001</v>
      </c>
      <c r="C838" s="157">
        <v>65.86</v>
      </c>
      <c r="D838" s="15"/>
      <c r="E838" s="157"/>
      <c r="G838" s="157"/>
    </row>
    <row r="839" spans="1:8" x14ac:dyDescent="0.25">
      <c r="A839" s="15">
        <f t="shared" si="0"/>
        <v>43941</v>
      </c>
      <c r="B839" s="16">
        <v>0.1825</v>
      </c>
      <c r="C839" s="157">
        <v>65.977800000000002</v>
      </c>
    </row>
    <row r="840" spans="1:8" x14ac:dyDescent="0.25">
      <c r="A840" s="15">
        <f t="shared" si="0"/>
        <v>43942</v>
      </c>
      <c r="B840" s="72">
        <v>0.174375</v>
      </c>
      <c r="C840" s="157">
        <v>66.089500000000001</v>
      </c>
    </row>
    <row r="841" spans="1:8" x14ac:dyDescent="0.25">
      <c r="A841" s="15">
        <f t="shared" si="0"/>
        <v>43943</v>
      </c>
      <c r="B841" s="72">
        <v>0.16187499999999999</v>
      </c>
      <c r="C841" s="157">
        <v>66.224999999999994</v>
      </c>
    </row>
    <row r="842" spans="1:8" x14ac:dyDescent="0.25">
      <c r="A842" s="15">
        <f t="shared" si="0"/>
        <v>43944</v>
      </c>
      <c r="B842" s="72">
        <v>0.15937499999999999</v>
      </c>
      <c r="C842" s="157">
        <v>66.316699999999997</v>
      </c>
    </row>
    <row r="843" spans="1:8" x14ac:dyDescent="0.25">
      <c r="A843" s="15">
        <f t="shared" si="0"/>
        <v>43945</v>
      </c>
      <c r="B843" s="72">
        <v>0.18312500000000001</v>
      </c>
      <c r="C843" s="157">
        <v>66.424999999999997</v>
      </c>
    </row>
    <row r="844" spans="1:8" x14ac:dyDescent="0.25">
      <c r="A844" s="15">
        <f t="shared" si="0"/>
        <v>43948</v>
      </c>
      <c r="B844" s="72">
        <v>0.18312500000000001</v>
      </c>
      <c r="C844" s="157">
        <v>66.525000000000006</v>
      </c>
    </row>
    <row r="845" spans="1:8" x14ac:dyDescent="0.25">
      <c r="A845" s="15">
        <f t="shared" si="0"/>
        <v>43949</v>
      </c>
      <c r="B845" s="72">
        <v>0.18375</v>
      </c>
      <c r="C845" s="157">
        <v>66.635000000000005</v>
      </c>
    </row>
    <row r="846" spans="1:8" x14ac:dyDescent="0.25">
      <c r="A846" s="15">
        <f t="shared" si="0"/>
        <v>43950</v>
      </c>
      <c r="B846" s="72">
        <v>0.18312500000000001</v>
      </c>
      <c r="C846" s="157">
        <v>66.745000000000005</v>
      </c>
    </row>
    <row r="847" spans="1:8" x14ac:dyDescent="0.25">
      <c r="A847" s="15">
        <f t="shared" si="0"/>
        <v>43951</v>
      </c>
      <c r="B847" s="72">
        <v>0.18437500000000001</v>
      </c>
      <c r="C847" s="157">
        <v>66.834999999999994</v>
      </c>
    </row>
    <row r="848" spans="1:8" x14ac:dyDescent="0.25">
      <c r="A848" s="15">
        <f t="shared" si="0"/>
        <v>43952</v>
      </c>
      <c r="B848" s="72">
        <f t="shared" ref="B848" si="1">+B847</f>
        <v>0.18437500000000001</v>
      </c>
      <c r="C848" s="157">
        <f t="shared" ref="C848" si="2">+C847</f>
        <v>66.834999999999994</v>
      </c>
    </row>
    <row r="849" spans="1:3" x14ac:dyDescent="0.25">
      <c r="A849" s="15">
        <f>+WORKDAY.INTL(A848,1,1,)</f>
        <v>43955</v>
      </c>
      <c r="B849" s="72">
        <v>0.21062500000000001</v>
      </c>
      <c r="C849" s="157">
        <v>66.930000000000007</v>
      </c>
    </row>
    <row r="850" spans="1:3" x14ac:dyDescent="0.25">
      <c r="A850" s="15">
        <f t="shared" si="0"/>
        <v>43956</v>
      </c>
      <c r="B850" s="72">
        <v>0.19875000000000001</v>
      </c>
      <c r="C850" s="157">
        <v>67.010000000000005</v>
      </c>
    </row>
    <row r="851" spans="1:3" x14ac:dyDescent="0.25">
      <c r="A851" s="15">
        <f t="shared" si="0"/>
        <v>43957</v>
      </c>
      <c r="B851" s="72">
        <v>0.200625</v>
      </c>
      <c r="C851" s="157">
        <v>67.099999999999994</v>
      </c>
    </row>
    <row r="852" spans="1:3" x14ac:dyDescent="0.25">
      <c r="A852" s="15">
        <f t="shared" si="0"/>
        <v>43958</v>
      </c>
      <c r="B852" s="72">
        <v>0.198125</v>
      </c>
      <c r="C852" s="157">
        <v>67.19</v>
      </c>
    </row>
    <row r="853" spans="1:3" x14ac:dyDescent="0.25">
      <c r="A853" s="15">
        <f t="shared" si="0"/>
        <v>43959</v>
      </c>
      <c r="B853" s="72">
        <v>0.20624999999999999</v>
      </c>
      <c r="C853" s="157">
        <v>67.28</v>
      </c>
    </row>
    <row r="854" spans="1:3" x14ac:dyDescent="0.25">
      <c r="A854" s="15">
        <f t="shared" si="0"/>
        <v>43962</v>
      </c>
      <c r="B854" s="72">
        <v>0.21062500000000001</v>
      </c>
      <c r="C854" s="157">
        <v>67.37</v>
      </c>
    </row>
    <row r="855" spans="1:3" x14ac:dyDescent="0.25">
      <c r="A855" s="15">
        <f t="shared" si="0"/>
        <v>43963</v>
      </c>
      <c r="B855" s="72">
        <v>0.205625</v>
      </c>
      <c r="C855" s="157">
        <v>67.459999999999994</v>
      </c>
    </row>
    <row r="856" spans="1:3" x14ac:dyDescent="0.25">
      <c r="A856" s="15">
        <f t="shared" si="0"/>
        <v>43964</v>
      </c>
      <c r="B856" s="72">
        <v>0.21812500000000001</v>
      </c>
      <c r="C856" s="157">
        <v>67.55</v>
      </c>
    </row>
    <row r="857" spans="1:3" x14ac:dyDescent="0.25">
      <c r="A857" s="15">
        <f t="shared" si="0"/>
        <v>43965</v>
      </c>
      <c r="B857" s="72">
        <v>0.20749999999999999</v>
      </c>
      <c r="C857" s="157">
        <v>67.64</v>
      </c>
    </row>
    <row r="858" spans="1:3" x14ac:dyDescent="0.25">
      <c r="A858" s="15">
        <f t="shared" si="0"/>
        <v>43966</v>
      </c>
      <c r="B858" s="72">
        <v>0.22625000000000001</v>
      </c>
      <c r="C858" s="157">
        <v>67.73</v>
      </c>
    </row>
    <row r="859" spans="1:3" x14ac:dyDescent="0.25">
      <c r="A859" s="15">
        <f t="shared" si="0"/>
        <v>43969</v>
      </c>
      <c r="B859" s="72">
        <v>0.26437500000000003</v>
      </c>
      <c r="C859" s="157">
        <v>67.819999999999993</v>
      </c>
    </row>
    <row r="860" spans="1:3" x14ac:dyDescent="0.25">
      <c r="A860" s="15">
        <f t="shared" si="0"/>
        <v>43970</v>
      </c>
      <c r="B860" s="72">
        <v>0.26250000000000001</v>
      </c>
      <c r="C860" s="157">
        <v>67.91</v>
      </c>
    </row>
    <row r="861" spans="1:3" x14ac:dyDescent="0.25">
      <c r="A861" s="15">
        <f t="shared" si="0"/>
        <v>43971</v>
      </c>
      <c r="B861" s="72">
        <v>0.26500000000000001</v>
      </c>
      <c r="C861" s="157">
        <v>68</v>
      </c>
    </row>
    <row r="862" spans="1:3" x14ac:dyDescent="0.25">
      <c r="A862" s="15">
        <f t="shared" si="0"/>
        <v>43972</v>
      </c>
      <c r="B862" s="72">
        <v>0.26500000000000001</v>
      </c>
      <c r="C862" s="157">
        <v>68.09</v>
      </c>
    </row>
    <row r="863" spans="1:3" x14ac:dyDescent="0.25">
      <c r="A863" s="15">
        <f t="shared" si="0"/>
        <v>43973</v>
      </c>
      <c r="B863" s="72">
        <v>0.26187500000000002</v>
      </c>
      <c r="C863" s="157">
        <v>68.180000000000007</v>
      </c>
    </row>
    <row r="864" spans="1:3" x14ac:dyDescent="0.25">
      <c r="A864" s="15">
        <f t="shared" si="0"/>
        <v>43976</v>
      </c>
      <c r="B864" s="72">
        <v>0.25687500000000002</v>
      </c>
      <c r="C864" s="157">
        <v>68.27</v>
      </c>
    </row>
    <row r="865" spans="1:3" x14ac:dyDescent="0.25">
      <c r="A865" s="15">
        <f t="shared" si="0"/>
        <v>43977</v>
      </c>
      <c r="B865" s="72">
        <v>0.26437500000000003</v>
      </c>
      <c r="C865" s="157">
        <v>68.36</v>
      </c>
    </row>
    <row r="866" spans="1:3" x14ac:dyDescent="0.25">
      <c r="A866" s="15">
        <f t="shared" si="0"/>
        <v>43978</v>
      </c>
      <c r="B866" s="72">
        <v>0.26500000000000001</v>
      </c>
      <c r="C866" s="157">
        <v>68.45</v>
      </c>
    </row>
    <row r="867" spans="1:3" x14ac:dyDescent="0.25">
      <c r="A867" s="15">
        <f t="shared" si="0"/>
        <v>43979</v>
      </c>
      <c r="B867" s="72">
        <v>0.265625</v>
      </c>
      <c r="C867" s="157">
        <v>68.540000000000006</v>
      </c>
    </row>
    <row r="868" spans="1:3" x14ac:dyDescent="0.25">
      <c r="A868" s="15">
        <f t="shared" si="0"/>
        <v>43980</v>
      </c>
      <c r="B868" s="72">
        <v>0.28499999999999998</v>
      </c>
      <c r="C868" s="157">
        <v>68.63</v>
      </c>
    </row>
    <row r="869" spans="1:3" x14ac:dyDescent="0.25">
      <c r="A869" s="15">
        <f t="shared" si="0"/>
        <v>43983</v>
      </c>
      <c r="B869" s="72">
        <v>0.28999999999999998</v>
      </c>
      <c r="C869" s="157">
        <v>68.72</v>
      </c>
    </row>
    <row r="870" spans="1:3" x14ac:dyDescent="0.25">
      <c r="A870" s="15">
        <f t="shared" si="0"/>
        <v>43984</v>
      </c>
      <c r="B870" s="72">
        <v>0.29562500000000003</v>
      </c>
      <c r="C870" s="157">
        <v>68.81</v>
      </c>
    </row>
    <row r="871" spans="1:3" x14ac:dyDescent="0.25">
      <c r="A871" s="15">
        <f t="shared" si="0"/>
        <v>43985</v>
      </c>
      <c r="B871" s="72">
        <v>0.29749999999999999</v>
      </c>
      <c r="C871" s="157">
        <v>68.81</v>
      </c>
    </row>
    <row r="872" spans="1:3" x14ac:dyDescent="0.25">
      <c r="A872" s="15">
        <f t="shared" si="0"/>
        <v>43986</v>
      </c>
      <c r="B872" s="72">
        <v>0.29562500000000003</v>
      </c>
      <c r="C872" s="157">
        <v>68.900000000000006</v>
      </c>
    </row>
    <row r="873" spans="1:3" x14ac:dyDescent="0.25">
      <c r="A873" s="15">
        <f t="shared" si="0"/>
        <v>43987</v>
      </c>
      <c r="B873" s="72">
        <v>0.29562500000000003</v>
      </c>
      <c r="C873" s="157">
        <v>68.989999999999995</v>
      </c>
    </row>
    <row r="874" spans="1:3" x14ac:dyDescent="0.25">
      <c r="A874" s="15">
        <f t="shared" si="0"/>
        <v>43990</v>
      </c>
      <c r="B874" s="72">
        <v>0.29875000000000002</v>
      </c>
      <c r="C874" s="157">
        <v>69.08</v>
      </c>
    </row>
    <row r="875" spans="1:3" x14ac:dyDescent="0.25">
      <c r="A875" s="15">
        <f t="shared" si="0"/>
        <v>43991</v>
      </c>
      <c r="B875" s="72">
        <v>0.29499999999999998</v>
      </c>
      <c r="C875" s="157">
        <v>69.17</v>
      </c>
    </row>
    <row r="876" spans="1:3" x14ac:dyDescent="0.25">
      <c r="A876" s="15">
        <f t="shared" si="0"/>
        <v>43992</v>
      </c>
      <c r="B876" s="72">
        <v>0.296875</v>
      </c>
      <c r="C876" s="157">
        <v>69.260000000000005</v>
      </c>
    </row>
    <row r="877" spans="1:3" x14ac:dyDescent="0.25">
      <c r="A877" s="15">
        <f t="shared" si="0"/>
        <v>43993</v>
      </c>
      <c r="B877" s="72">
        <v>0.291875</v>
      </c>
      <c r="C877" s="157">
        <v>69.319999999999993</v>
      </c>
    </row>
    <row r="878" spans="1:3" x14ac:dyDescent="0.25">
      <c r="A878" s="15">
        <f t="shared" si="0"/>
        <v>43994</v>
      </c>
      <c r="B878" s="72">
        <v>0.29749999999999999</v>
      </c>
      <c r="C878" s="157">
        <v>69.38</v>
      </c>
    </row>
    <row r="879" spans="1:3" x14ac:dyDescent="0.25">
      <c r="A879" s="15">
        <f t="shared" si="0"/>
        <v>43997</v>
      </c>
      <c r="B879" s="72">
        <v>0.29812499999999997</v>
      </c>
      <c r="C879" s="157">
        <v>69.62</v>
      </c>
    </row>
    <row r="880" spans="1:3" x14ac:dyDescent="0.25">
      <c r="A880" s="15">
        <f t="shared" si="0"/>
        <v>43998</v>
      </c>
      <c r="B880" s="72">
        <v>0.294375</v>
      </c>
      <c r="C880" s="157">
        <v>69.680000000000007</v>
      </c>
    </row>
    <row r="881" spans="1:3" x14ac:dyDescent="0.25">
      <c r="A881" s="15">
        <f t="shared" si="0"/>
        <v>43999</v>
      </c>
      <c r="B881" s="72">
        <v>0.29812499999999997</v>
      </c>
      <c r="C881" s="157">
        <v>69.739999999999995</v>
      </c>
    </row>
    <row r="882" spans="1:3" x14ac:dyDescent="0.25">
      <c r="A882" s="15">
        <f t="shared" si="0"/>
        <v>44000</v>
      </c>
      <c r="B882" s="72">
        <v>0.294375</v>
      </c>
      <c r="C882" s="157">
        <v>69.8</v>
      </c>
    </row>
    <row r="883" spans="1:3" x14ac:dyDescent="0.25">
      <c r="A883" s="15">
        <f t="shared" si="0"/>
        <v>44001</v>
      </c>
      <c r="B883" s="72">
        <v>0.29812499999999997</v>
      </c>
      <c r="C883" s="157">
        <v>69.98</v>
      </c>
    </row>
    <row r="884" spans="1:3" x14ac:dyDescent="0.25">
      <c r="A884" s="15">
        <f t="shared" si="0"/>
        <v>44004</v>
      </c>
      <c r="B884" s="72">
        <v>0.29625000000000001</v>
      </c>
      <c r="C884" s="157">
        <v>70.040000000000006</v>
      </c>
    </row>
    <row r="885" spans="1:3" x14ac:dyDescent="0.25">
      <c r="A885" s="15">
        <f t="shared" si="0"/>
        <v>44005</v>
      </c>
      <c r="B885" s="72">
        <v>0.29749999999999999</v>
      </c>
      <c r="C885" s="157">
        <v>70.099999999999994</v>
      </c>
    </row>
    <row r="886" spans="1:3" x14ac:dyDescent="0.25">
      <c r="A886" s="15">
        <f t="shared" si="0"/>
        <v>44006</v>
      </c>
      <c r="B886" s="72">
        <v>0.29749999999999999</v>
      </c>
      <c r="C886" s="157">
        <v>70.16</v>
      </c>
    </row>
    <row r="887" spans="1:3" x14ac:dyDescent="0.25">
      <c r="A887" s="15">
        <f t="shared" si="0"/>
        <v>44007</v>
      </c>
      <c r="B887" s="72">
        <v>0.29812499999999997</v>
      </c>
      <c r="C887" s="157">
        <v>70.22</v>
      </c>
    </row>
    <row r="888" spans="1:3" x14ac:dyDescent="0.25">
      <c r="A888" s="15">
        <f t="shared" si="0"/>
        <v>44008</v>
      </c>
      <c r="B888" s="72">
        <v>0.29625000000000001</v>
      </c>
      <c r="C888" s="157">
        <v>70.400000000000006</v>
      </c>
    </row>
    <row r="889" spans="1:3" x14ac:dyDescent="0.25">
      <c r="A889" s="15">
        <f t="shared" si="0"/>
        <v>44011</v>
      </c>
      <c r="B889" s="72">
        <v>0.28999999999999998</v>
      </c>
      <c r="C889" s="157">
        <v>70.459999999999994</v>
      </c>
    </row>
    <row r="890" spans="1:3" x14ac:dyDescent="0.25">
      <c r="A890" s="15">
        <f t="shared" si="0"/>
        <v>44012</v>
      </c>
      <c r="B890" s="72">
        <v>0.296875</v>
      </c>
      <c r="C890" s="157">
        <v>70.52</v>
      </c>
    </row>
    <row r="891" spans="1:3" x14ac:dyDescent="0.25">
      <c r="A891" s="15">
        <f t="shared" si="0"/>
        <v>44013</v>
      </c>
      <c r="B891" s="72">
        <v>0.29749999999999999</v>
      </c>
      <c r="C891" s="157">
        <v>70.58</v>
      </c>
    </row>
    <row r="892" spans="1:3" x14ac:dyDescent="0.25">
      <c r="A892" s="15">
        <f t="shared" ref="A892:A955" si="3">+WORKDAY.INTL(A891,1,1,)</f>
        <v>44014</v>
      </c>
      <c r="B892" s="72">
        <v>0.29562500000000003</v>
      </c>
      <c r="C892" s="157">
        <v>70.575000000000003</v>
      </c>
    </row>
    <row r="893" spans="1:3" x14ac:dyDescent="0.25">
      <c r="A893" s="15">
        <f t="shared" si="3"/>
        <v>44015</v>
      </c>
      <c r="B893" s="72">
        <v>0.29562500000000003</v>
      </c>
      <c r="C893" s="157">
        <v>70.635000000000005</v>
      </c>
    </row>
    <row r="894" spans="1:3" x14ac:dyDescent="0.25">
      <c r="A894" s="15">
        <f t="shared" si="3"/>
        <v>44018</v>
      </c>
      <c r="B894" s="72">
        <v>0.296875</v>
      </c>
      <c r="C894" s="157">
        <v>70.814999999999998</v>
      </c>
    </row>
    <row r="895" spans="1:3" x14ac:dyDescent="0.25">
      <c r="A895" s="15">
        <f t="shared" si="3"/>
        <v>44019</v>
      </c>
      <c r="B895" s="72">
        <v>0.29749999999999999</v>
      </c>
      <c r="C895" s="157">
        <v>70.875</v>
      </c>
    </row>
    <row r="896" spans="1:3" x14ac:dyDescent="0.25">
      <c r="A896" s="15">
        <f t="shared" si="3"/>
        <v>44020</v>
      </c>
      <c r="B896" s="72">
        <v>0.29499999999999998</v>
      </c>
      <c r="C896" s="157">
        <v>70.935000000000002</v>
      </c>
    </row>
    <row r="897" spans="1:3" x14ac:dyDescent="0.25">
      <c r="A897" s="15">
        <f t="shared" si="3"/>
        <v>44021</v>
      </c>
      <c r="B897" s="72">
        <v>0.29499999999999998</v>
      </c>
      <c r="C897" s="157">
        <v>70.935000000000002</v>
      </c>
    </row>
    <row r="898" spans="1:3" x14ac:dyDescent="0.25">
      <c r="A898" s="15">
        <f t="shared" si="3"/>
        <v>44022</v>
      </c>
      <c r="B898" s="72">
        <v>0.29499999999999998</v>
      </c>
      <c r="C898" s="157">
        <v>70.935000000000002</v>
      </c>
    </row>
    <row r="899" spans="1:3" x14ac:dyDescent="0.25">
      <c r="A899" s="15">
        <f t="shared" si="3"/>
        <v>44025</v>
      </c>
      <c r="B899" s="72">
        <v>0.296875</v>
      </c>
      <c r="C899" s="157">
        <v>71.2333</v>
      </c>
    </row>
    <row r="900" spans="1:3" x14ac:dyDescent="0.25">
      <c r="A900" s="15">
        <f t="shared" si="3"/>
        <v>44026</v>
      </c>
      <c r="B900" s="72">
        <v>0.29562500000000003</v>
      </c>
      <c r="C900" s="157">
        <v>71.295000000000002</v>
      </c>
    </row>
    <row r="901" spans="1:3" x14ac:dyDescent="0.25">
      <c r="A901" s="15">
        <f t="shared" si="3"/>
        <v>44027</v>
      </c>
      <c r="B901" s="72">
        <v>0.29625000000000001</v>
      </c>
      <c r="C901" s="157">
        <v>71.355000000000004</v>
      </c>
    </row>
    <row r="902" spans="1:3" x14ac:dyDescent="0.25">
      <c r="A902" s="15">
        <f t="shared" si="3"/>
        <v>44028</v>
      </c>
      <c r="B902" s="72">
        <v>0.29499999999999998</v>
      </c>
      <c r="C902" s="157">
        <v>71.415000000000006</v>
      </c>
    </row>
    <row r="903" spans="1:3" x14ac:dyDescent="0.25">
      <c r="A903" s="15">
        <f t="shared" si="3"/>
        <v>44029</v>
      </c>
      <c r="B903" s="72">
        <v>0.29562500000000003</v>
      </c>
      <c r="C903" s="157">
        <v>71.474999999999994</v>
      </c>
    </row>
    <row r="904" spans="1:3" x14ac:dyDescent="0.25">
      <c r="A904" s="15">
        <f t="shared" si="3"/>
        <v>44032</v>
      </c>
      <c r="B904" s="72">
        <v>0.294375</v>
      </c>
      <c r="C904" s="157">
        <v>71.655000000000001</v>
      </c>
    </row>
    <row r="905" spans="1:3" x14ac:dyDescent="0.25">
      <c r="A905" s="15">
        <f t="shared" si="3"/>
        <v>44033</v>
      </c>
      <c r="B905" s="72">
        <v>0.29499999999999998</v>
      </c>
      <c r="C905" s="157">
        <v>71.715000000000003</v>
      </c>
    </row>
    <row r="906" spans="1:3" x14ac:dyDescent="0.25">
      <c r="A906" s="15">
        <f t="shared" si="3"/>
        <v>44034</v>
      </c>
      <c r="B906" s="72">
        <v>0.296875</v>
      </c>
      <c r="C906" s="157">
        <v>71.775000000000006</v>
      </c>
    </row>
    <row r="907" spans="1:3" x14ac:dyDescent="0.25">
      <c r="A907" s="15">
        <f t="shared" si="3"/>
        <v>44035</v>
      </c>
      <c r="B907" s="72">
        <v>0.29125000000000001</v>
      </c>
      <c r="C907" s="157">
        <v>71.834999999999994</v>
      </c>
    </row>
    <row r="908" spans="1:3" x14ac:dyDescent="0.25">
      <c r="A908" s="15">
        <f t="shared" si="3"/>
        <v>44036</v>
      </c>
      <c r="B908" s="72">
        <v>0.29562500000000003</v>
      </c>
      <c r="C908" s="157">
        <v>71.894999999999996</v>
      </c>
    </row>
    <row r="909" spans="1:3" x14ac:dyDescent="0.25">
      <c r="A909" s="15">
        <f t="shared" si="3"/>
        <v>44039</v>
      </c>
      <c r="B909" s="72">
        <v>0.29375000000000001</v>
      </c>
      <c r="C909" s="157">
        <v>72.075000000000003</v>
      </c>
    </row>
    <row r="910" spans="1:3" x14ac:dyDescent="0.25">
      <c r="A910" s="15">
        <f t="shared" si="3"/>
        <v>44040</v>
      </c>
      <c r="B910" s="72">
        <v>0.291875</v>
      </c>
      <c r="C910" s="157">
        <v>72.135000000000005</v>
      </c>
    </row>
    <row r="911" spans="1:3" x14ac:dyDescent="0.25">
      <c r="A911" s="15">
        <f t="shared" si="3"/>
        <v>44041</v>
      </c>
      <c r="B911" s="72">
        <v>0.29749999999999999</v>
      </c>
      <c r="C911" s="157">
        <v>72.194999999999993</v>
      </c>
    </row>
    <row r="912" spans="1:3" x14ac:dyDescent="0.25">
      <c r="A912" s="15">
        <f t="shared" si="3"/>
        <v>44042</v>
      </c>
      <c r="B912" s="72">
        <v>0.29625000000000001</v>
      </c>
      <c r="C912" s="157">
        <v>72.254999999999995</v>
      </c>
    </row>
    <row r="913" spans="1:3" x14ac:dyDescent="0.25">
      <c r="A913" s="15">
        <f t="shared" si="3"/>
        <v>44043</v>
      </c>
      <c r="B913" s="72">
        <v>0.29625000000000001</v>
      </c>
      <c r="C913" s="157">
        <v>72.314999999999998</v>
      </c>
    </row>
    <row r="914" spans="1:3" x14ac:dyDescent="0.25">
      <c r="A914" s="15">
        <f t="shared" si="3"/>
        <v>44046</v>
      </c>
      <c r="B914" s="72">
        <v>0.29875000000000002</v>
      </c>
      <c r="C914" s="157">
        <v>72.52</v>
      </c>
    </row>
    <row r="915" spans="1:3" x14ac:dyDescent="0.25">
      <c r="A915" s="15">
        <f t="shared" si="3"/>
        <v>44047</v>
      </c>
      <c r="B915" s="72">
        <v>0.29249999999999998</v>
      </c>
      <c r="C915" s="157">
        <v>72.569999999999993</v>
      </c>
    </row>
    <row r="916" spans="1:3" x14ac:dyDescent="0.25">
      <c r="A916" s="15">
        <f t="shared" si="3"/>
        <v>44048</v>
      </c>
      <c r="B916" s="72">
        <v>0.294375</v>
      </c>
      <c r="C916" s="157">
        <v>72.62</v>
      </c>
    </row>
    <row r="917" spans="1:3" x14ac:dyDescent="0.25">
      <c r="A917" s="15">
        <f t="shared" si="3"/>
        <v>44049</v>
      </c>
      <c r="B917" s="72">
        <v>0.29812499999999997</v>
      </c>
      <c r="C917" s="157">
        <v>72.7</v>
      </c>
    </row>
    <row r="918" spans="1:3" x14ac:dyDescent="0.25">
      <c r="A918" s="15">
        <f t="shared" si="3"/>
        <v>44050</v>
      </c>
      <c r="B918" s="72">
        <v>0.29625000000000001</v>
      </c>
      <c r="C918" s="157">
        <v>72.77</v>
      </c>
    </row>
    <row r="919" spans="1:3" x14ac:dyDescent="0.25">
      <c r="A919" s="15">
        <f t="shared" si="3"/>
        <v>44053</v>
      </c>
      <c r="B919" s="72">
        <v>0.3</v>
      </c>
      <c r="C919" s="157">
        <v>72.95</v>
      </c>
    </row>
    <row r="920" spans="1:3" x14ac:dyDescent="0.25">
      <c r="A920" s="15">
        <f t="shared" si="3"/>
        <v>44054</v>
      </c>
      <c r="B920" s="72">
        <v>0.296875</v>
      </c>
      <c r="C920" s="157">
        <v>73</v>
      </c>
    </row>
    <row r="921" spans="1:3" x14ac:dyDescent="0.25">
      <c r="A921" s="15">
        <f t="shared" si="3"/>
        <v>44055</v>
      </c>
      <c r="B921" s="72">
        <v>0.29749999999999999</v>
      </c>
      <c r="C921" s="157">
        <v>73.05</v>
      </c>
    </row>
    <row r="922" spans="1:3" x14ac:dyDescent="0.25">
      <c r="A922" s="15">
        <f t="shared" si="3"/>
        <v>44056</v>
      </c>
      <c r="B922" s="72">
        <v>0.29312500000000002</v>
      </c>
      <c r="C922" s="157">
        <v>73.11</v>
      </c>
    </row>
    <row r="923" spans="1:3" x14ac:dyDescent="0.25">
      <c r="A923" s="15">
        <f t="shared" si="3"/>
        <v>44057</v>
      </c>
      <c r="B923" s="72">
        <v>0.29875000000000002</v>
      </c>
      <c r="C923" s="157">
        <v>73.16</v>
      </c>
    </row>
    <row r="924" spans="1:3" x14ac:dyDescent="0.25">
      <c r="A924" s="15">
        <f t="shared" si="3"/>
        <v>44060</v>
      </c>
      <c r="B924" s="72">
        <v>0.29875000000000002</v>
      </c>
      <c r="C924" s="157">
        <v>73.16</v>
      </c>
    </row>
    <row r="925" spans="1:3" x14ac:dyDescent="0.25">
      <c r="A925" s="15">
        <f t="shared" si="3"/>
        <v>44061</v>
      </c>
      <c r="B925" s="72">
        <v>0.299375</v>
      </c>
      <c r="C925" s="157">
        <v>73.400000000000006</v>
      </c>
    </row>
    <row r="926" spans="1:3" x14ac:dyDescent="0.25">
      <c r="A926" s="15">
        <f t="shared" si="3"/>
        <v>44062</v>
      </c>
      <c r="B926" s="72">
        <v>0.29812499999999997</v>
      </c>
      <c r="C926" s="157">
        <v>73.48</v>
      </c>
    </row>
    <row r="927" spans="1:3" x14ac:dyDescent="0.25">
      <c r="A927" s="15">
        <f t="shared" si="3"/>
        <v>44063</v>
      </c>
      <c r="B927" s="72">
        <v>0.3</v>
      </c>
      <c r="C927" s="157">
        <v>73.53</v>
      </c>
    </row>
    <row r="928" spans="1:3" x14ac:dyDescent="0.25">
      <c r="A928" s="15">
        <f t="shared" si="3"/>
        <v>44064</v>
      </c>
      <c r="B928" s="72">
        <v>0.29562500000000003</v>
      </c>
      <c r="C928" s="157">
        <v>73.58</v>
      </c>
    </row>
    <row r="929" spans="1:3" x14ac:dyDescent="0.25">
      <c r="A929" s="15">
        <f t="shared" si="3"/>
        <v>44067</v>
      </c>
      <c r="B929" s="72">
        <v>0.28937499999999999</v>
      </c>
      <c r="C929" s="157">
        <v>73.73</v>
      </c>
    </row>
    <row r="930" spans="1:3" x14ac:dyDescent="0.25">
      <c r="A930" s="15">
        <f t="shared" si="3"/>
        <v>44068</v>
      </c>
      <c r="B930" s="72">
        <v>0.29562500000000003</v>
      </c>
      <c r="C930" s="157">
        <v>73.81</v>
      </c>
    </row>
    <row r="931" spans="1:3" x14ac:dyDescent="0.25">
      <c r="A931" s="15">
        <f t="shared" si="3"/>
        <v>44069</v>
      </c>
      <c r="B931" s="72">
        <v>0.29875000000000002</v>
      </c>
      <c r="C931" s="157">
        <v>73.86</v>
      </c>
    </row>
    <row r="932" spans="1:3" x14ac:dyDescent="0.25">
      <c r="A932" s="15">
        <f t="shared" si="3"/>
        <v>44070</v>
      </c>
      <c r="B932" s="72">
        <v>0.291875</v>
      </c>
      <c r="C932" s="157">
        <v>73.94</v>
      </c>
    </row>
    <row r="933" spans="1:3" x14ac:dyDescent="0.25">
      <c r="A933" s="15">
        <f t="shared" si="3"/>
        <v>44071</v>
      </c>
      <c r="B933" s="72">
        <v>0.299375</v>
      </c>
      <c r="C933" s="157">
        <v>74</v>
      </c>
    </row>
    <row r="934" spans="1:3" x14ac:dyDescent="0.25">
      <c r="A934" s="15">
        <f t="shared" si="3"/>
        <v>44074</v>
      </c>
      <c r="B934" s="72">
        <v>0.29625000000000001</v>
      </c>
      <c r="C934" s="157">
        <v>74.180000000000007</v>
      </c>
    </row>
    <row r="935" spans="1:3" x14ac:dyDescent="0.25">
      <c r="A935" s="15">
        <f t="shared" si="3"/>
        <v>44075</v>
      </c>
      <c r="B935" s="72">
        <v>0.296875</v>
      </c>
      <c r="C935" s="157">
        <v>74.25</v>
      </c>
    </row>
    <row r="936" spans="1:3" x14ac:dyDescent="0.25">
      <c r="A936" s="15">
        <f t="shared" si="3"/>
        <v>44076</v>
      </c>
      <c r="B936" s="72">
        <v>0.29749999999999999</v>
      </c>
      <c r="C936" s="157">
        <v>74.319999999999993</v>
      </c>
    </row>
    <row r="937" spans="1:3" x14ac:dyDescent="0.25">
      <c r="A937" s="15">
        <f t="shared" si="3"/>
        <v>44077</v>
      </c>
      <c r="B937" s="72">
        <v>0.3</v>
      </c>
      <c r="C937" s="157">
        <v>74.38</v>
      </c>
    </row>
    <row r="938" spans="1:3" x14ac:dyDescent="0.25">
      <c r="A938" s="15">
        <f t="shared" si="3"/>
        <v>44078</v>
      </c>
      <c r="B938" s="72">
        <v>0.29812499999999997</v>
      </c>
      <c r="C938" s="157">
        <v>74.44</v>
      </c>
    </row>
    <row r="939" spans="1:3" x14ac:dyDescent="0.25">
      <c r="A939" s="15">
        <f t="shared" si="3"/>
        <v>44081</v>
      </c>
      <c r="B939" s="72">
        <v>0.29625000000000001</v>
      </c>
      <c r="C939" s="157">
        <v>74.650000000000006</v>
      </c>
    </row>
    <row r="940" spans="1:3" x14ac:dyDescent="0.25">
      <c r="A940" s="15">
        <f t="shared" si="3"/>
        <v>44082</v>
      </c>
      <c r="B940" s="72">
        <v>0.29875000000000002</v>
      </c>
      <c r="C940" s="157">
        <v>74.709999999999994</v>
      </c>
    </row>
    <row r="941" spans="1:3" x14ac:dyDescent="0.25">
      <c r="A941" s="15">
        <f t="shared" si="3"/>
        <v>44083</v>
      </c>
      <c r="B941" s="72">
        <v>0.299375</v>
      </c>
      <c r="C941" s="157">
        <v>74.77</v>
      </c>
    </row>
    <row r="942" spans="1:3" x14ac:dyDescent="0.25">
      <c r="A942" s="15">
        <f t="shared" si="3"/>
        <v>44084</v>
      </c>
      <c r="B942" s="72">
        <v>0.296875</v>
      </c>
      <c r="C942" s="157">
        <v>74.84</v>
      </c>
    </row>
    <row r="943" spans="1:3" x14ac:dyDescent="0.25">
      <c r="A943" s="15">
        <f t="shared" si="3"/>
        <v>44085</v>
      </c>
      <c r="B943" s="72">
        <v>0.29499999999999998</v>
      </c>
      <c r="C943" s="157">
        <v>74.91</v>
      </c>
    </row>
    <row r="944" spans="1:3" x14ac:dyDescent="0.25">
      <c r="A944" s="15">
        <f t="shared" si="3"/>
        <v>44088</v>
      </c>
      <c r="B944" s="72">
        <v>0.296875</v>
      </c>
      <c r="C944" s="157">
        <v>75.12</v>
      </c>
    </row>
    <row r="945" spans="1:3" x14ac:dyDescent="0.25">
      <c r="A945" s="15">
        <f t="shared" si="3"/>
        <v>44089</v>
      </c>
      <c r="B945" s="72">
        <v>0.29499999999999998</v>
      </c>
      <c r="C945" s="157">
        <v>75.19</v>
      </c>
    </row>
    <row r="946" spans="1:3" x14ac:dyDescent="0.25">
      <c r="A946" s="15">
        <f t="shared" si="3"/>
        <v>44090</v>
      </c>
      <c r="B946" s="72">
        <v>0.29875000000000002</v>
      </c>
      <c r="C946" s="157">
        <v>75.25</v>
      </c>
    </row>
    <row r="947" spans="1:3" x14ac:dyDescent="0.25">
      <c r="A947" s="15">
        <f t="shared" si="3"/>
        <v>44091</v>
      </c>
      <c r="B947" s="72">
        <v>0.29875000000000002</v>
      </c>
      <c r="C947" s="157">
        <v>75.319999999999993</v>
      </c>
    </row>
    <row r="948" spans="1:3" x14ac:dyDescent="0.25">
      <c r="A948" s="15">
        <f t="shared" si="3"/>
        <v>44092</v>
      </c>
      <c r="B948" s="72">
        <v>0.29875000000000002</v>
      </c>
      <c r="C948" s="157">
        <v>75.38</v>
      </c>
    </row>
    <row r="949" spans="1:3" x14ac:dyDescent="0.25">
      <c r="A949" s="15">
        <f t="shared" si="3"/>
        <v>44095</v>
      </c>
      <c r="B949" s="72">
        <v>0.3</v>
      </c>
      <c r="C949" s="157">
        <v>75.59</v>
      </c>
    </row>
    <row r="950" spans="1:3" x14ac:dyDescent="0.25">
      <c r="A950" s="15">
        <f t="shared" si="3"/>
        <v>44096</v>
      </c>
      <c r="B950" s="72">
        <v>0.29749999999999999</v>
      </c>
      <c r="C950" s="157">
        <v>75.650000000000006</v>
      </c>
    </row>
    <row r="951" spans="1:3" x14ac:dyDescent="0.25">
      <c r="A951" s="15">
        <f t="shared" si="3"/>
        <v>44097</v>
      </c>
      <c r="B951" s="72">
        <v>0.29249999999999998</v>
      </c>
      <c r="C951" s="157">
        <v>75.72</v>
      </c>
    </row>
    <row r="952" spans="1:3" x14ac:dyDescent="0.25">
      <c r="A952" s="15">
        <f t="shared" si="3"/>
        <v>44098</v>
      </c>
      <c r="B952" s="72">
        <v>0.29562500000000003</v>
      </c>
      <c r="C952" s="157">
        <v>75.78</v>
      </c>
    </row>
    <row r="953" spans="1:3" x14ac:dyDescent="0.25">
      <c r="A953" s="15">
        <f t="shared" si="3"/>
        <v>44099</v>
      </c>
      <c r="B953" s="72">
        <v>0.29562500000000003</v>
      </c>
      <c r="C953" s="157">
        <v>75.849999999999994</v>
      </c>
    </row>
    <row r="954" spans="1:3" x14ac:dyDescent="0.25">
      <c r="A954" s="15">
        <f t="shared" si="3"/>
        <v>44102</v>
      </c>
      <c r="B954" s="72">
        <v>0.29812499999999997</v>
      </c>
      <c r="C954" s="157">
        <v>76.06</v>
      </c>
    </row>
    <row r="955" spans="1:3" x14ac:dyDescent="0.25">
      <c r="A955" s="15">
        <f t="shared" si="3"/>
        <v>44103</v>
      </c>
      <c r="B955" s="72">
        <v>0.30062499999999998</v>
      </c>
      <c r="C955" s="157">
        <v>76.12</v>
      </c>
    </row>
    <row r="956" spans="1:3" x14ac:dyDescent="0.25">
      <c r="A956" s="15">
        <f t="shared" ref="A956:A1019" si="4">+WORKDAY.INTL(A955,1,1,)</f>
        <v>44104</v>
      </c>
      <c r="B956" s="72">
        <v>0.296875</v>
      </c>
      <c r="C956" s="157">
        <v>76.180000000000007</v>
      </c>
    </row>
    <row r="957" spans="1:3" x14ac:dyDescent="0.25">
      <c r="A957" s="15">
        <f t="shared" si="4"/>
        <v>44105</v>
      </c>
      <c r="B957" s="72">
        <v>0.28875000000000001</v>
      </c>
      <c r="C957" s="157">
        <v>76.25</v>
      </c>
    </row>
    <row r="958" spans="1:3" x14ac:dyDescent="0.25">
      <c r="A958" s="15">
        <f t="shared" si="4"/>
        <v>44106</v>
      </c>
      <c r="B958" s="72">
        <v>0.296875</v>
      </c>
      <c r="C958" s="157">
        <v>76.95</v>
      </c>
    </row>
    <row r="959" spans="1:3" x14ac:dyDescent="0.25">
      <c r="A959" s="15">
        <f t="shared" si="4"/>
        <v>44109</v>
      </c>
      <c r="B959" s="72">
        <v>0.29875000000000002</v>
      </c>
      <c r="C959" s="157">
        <v>77.05</v>
      </c>
    </row>
    <row r="960" spans="1:3" x14ac:dyDescent="0.25">
      <c r="A960" s="15">
        <f t="shared" si="4"/>
        <v>44110</v>
      </c>
      <c r="B960" s="72">
        <v>0.299375</v>
      </c>
      <c r="C960" s="157">
        <v>77.08</v>
      </c>
    </row>
    <row r="961" spans="1:3" x14ac:dyDescent="0.25">
      <c r="A961" s="15">
        <f t="shared" si="4"/>
        <v>44111</v>
      </c>
      <c r="B961" s="72">
        <v>0.296875</v>
      </c>
      <c r="C961" s="157">
        <v>77.099999999999994</v>
      </c>
    </row>
    <row r="962" spans="1:3" x14ac:dyDescent="0.25">
      <c r="A962" s="15">
        <f t="shared" si="4"/>
        <v>44112</v>
      </c>
      <c r="B962" s="72">
        <v>0.29562500000000003</v>
      </c>
      <c r="C962" s="157">
        <v>77.099999999999994</v>
      </c>
    </row>
    <row r="963" spans="1:3" x14ac:dyDescent="0.25">
      <c r="A963" s="15">
        <f t="shared" si="4"/>
        <v>44113</v>
      </c>
      <c r="B963" s="72">
        <v>0.29749999999999999</v>
      </c>
      <c r="C963" s="157">
        <v>77.11</v>
      </c>
    </row>
    <row r="964" spans="1:3" x14ac:dyDescent="0.25">
      <c r="A964" s="15">
        <f t="shared" si="4"/>
        <v>44116</v>
      </c>
      <c r="B964" s="72">
        <v>0.29749999999999999</v>
      </c>
      <c r="C964" s="157">
        <v>77.11</v>
      </c>
    </row>
    <row r="965" spans="1:3" x14ac:dyDescent="0.25">
      <c r="A965" s="15">
        <f t="shared" si="4"/>
        <v>44117</v>
      </c>
      <c r="B965" s="72">
        <v>0.29812499999999997</v>
      </c>
      <c r="C965" s="157">
        <v>77.400000000000006</v>
      </c>
    </row>
    <row r="966" spans="1:3" x14ac:dyDescent="0.25">
      <c r="A966" s="15">
        <f t="shared" si="4"/>
        <v>44118</v>
      </c>
      <c r="B966" s="72">
        <v>0.29625000000000001</v>
      </c>
      <c r="C966" s="157">
        <v>77.42</v>
      </c>
    </row>
    <row r="967" spans="1:3" x14ac:dyDescent="0.25">
      <c r="A967" s="15">
        <f t="shared" si="4"/>
        <v>44119</v>
      </c>
      <c r="B967" s="72">
        <v>0.3</v>
      </c>
      <c r="C967" s="157">
        <v>77.459999999999994</v>
      </c>
    </row>
    <row r="968" spans="1:3" x14ac:dyDescent="0.25">
      <c r="A968" s="15">
        <f t="shared" si="4"/>
        <v>44120</v>
      </c>
      <c r="B968" s="72">
        <v>0.31687500000000002</v>
      </c>
      <c r="C968" s="157">
        <v>77.53</v>
      </c>
    </row>
    <row r="969" spans="1:3" x14ac:dyDescent="0.25">
      <c r="A969" s="15">
        <f t="shared" si="4"/>
        <v>44123</v>
      </c>
      <c r="B969" s="72">
        <v>0.31562499999999999</v>
      </c>
      <c r="C969" s="157">
        <v>77.58</v>
      </c>
    </row>
    <row r="970" spans="1:3" x14ac:dyDescent="0.25">
      <c r="A970" s="15">
        <f t="shared" si="4"/>
        <v>44124</v>
      </c>
      <c r="B970" s="72">
        <v>0.31874999999999998</v>
      </c>
      <c r="C970" s="157">
        <v>77.66</v>
      </c>
    </row>
    <row r="971" spans="1:3" x14ac:dyDescent="0.25">
      <c r="A971" s="15">
        <f t="shared" si="4"/>
        <v>44125</v>
      </c>
      <c r="B971" s="72">
        <v>0.3175</v>
      </c>
      <c r="C971" s="157">
        <v>77.709999999999994</v>
      </c>
    </row>
    <row r="972" spans="1:3" x14ac:dyDescent="0.25">
      <c r="A972" s="15">
        <f t="shared" si="4"/>
        <v>44126</v>
      </c>
      <c r="B972" s="72">
        <v>0.31125000000000003</v>
      </c>
      <c r="C972" s="157">
        <v>78.05</v>
      </c>
    </row>
    <row r="973" spans="1:3" x14ac:dyDescent="0.25">
      <c r="A973" s="15">
        <f t="shared" si="4"/>
        <v>44127</v>
      </c>
      <c r="B973" s="72">
        <v>0.31562499999999999</v>
      </c>
      <c r="C973" s="157">
        <v>78.09</v>
      </c>
    </row>
    <row r="974" spans="1:3" x14ac:dyDescent="0.25">
      <c r="A974" s="15">
        <f t="shared" si="4"/>
        <v>44130</v>
      </c>
      <c r="B974" s="72">
        <v>0.31562499999999999</v>
      </c>
      <c r="C974" s="157">
        <v>78.209999999999994</v>
      </c>
    </row>
    <row r="975" spans="1:3" x14ac:dyDescent="0.25">
      <c r="A975" s="15">
        <f t="shared" si="4"/>
        <v>44131</v>
      </c>
      <c r="B975" s="72">
        <v>0.31562499999999999</v>
      </c>
      <c r="C975" s="157">
        <v>78.3</v>
      </c>
    </row>
    <row r="976" spans="1:3" x14ac:dyDescent="0.25">
      <c r="A976" s="15">
        <f t="shared" si="4"/>
        <v>44132</v>
      </c>
      <c r="B976" s="72">
        <v>0.31687500000000002</v>
      </c>
      <c r="C976" s="157">
        <v>78.3</v>
      </c>
    </row>
    <row r="977" spans="1:3" x14ac:dyDescent="0.25">
      <c r="A977" s="15">
        <f t="shared" si="4"/>
        <v>44133</v>
      </c>
      <c r="B977" s="72">
        <v>0.31687500000000002</v>
      </c>
      <c r="C977" s="157">
        <v>78.3</v>
      </c>
    </row>
    <row r="978" spans="1:3" x14ac:dyDescent="0.25">
      <c r="A978" s="15">
        <f t="shared" si="4"/>
        <v>44134</v>
      </c>
      <c r="B978" s="72">
        <v>0.3175</v>
      </c>
      <c r="C978" s="157">
        <v>78.33</v>
      </c>
    </row>
    <row r="979" spans="1:3" x14ac:dyDescent="0.25">
      <c r="A979" s="15">
        <f t="shared" si="4"/>
        <v>44137</v>
      </c>
      <c r="B979" s="72">
        <v>0.3175</v>
      </c>
      <c r="C979" s="157">
        <v>78.69</v>
      </c>
    </row>
    <row r="980" spans="1:3" x14ac:dyDescent="0.25">
      <c r="A980" s="15">
        <f t="shared" si="4"/>
        <v>44138</v>
      </c>
      <c r="B980" s="72">
        <v>0.3175</v>
      </c>
      <c r="C980" s="157">
        <v>78.900000000000006</v>
      </c>
    </row>
    <row r="981" spans="1:3" x14ac:dyDescent="0.25">
      <c r="A981" s="15">
        <f t="shared" si="4"/>
        <v>44139</v>
      </c>
      <c r="B981" s="72">
        <v>0.31437500000000002</v>
      </c>
      <c r="C981" s="157">
        <v>79.02</v>
      </c>
    </row>
    <row r="982" spans="1:3" x14ac:dyDescent="0.25">
      <c r="A982" s="15">
        <f t="shared" si="4"/>
        <v>44140</v>
      </c>
      <c r="B982" s="72">
        <v>0.31812499999999999</v>
      </c>
      <c r="C982" s="157">
        <v>79.09</v>
      </c>
    </row>
    <row r="983" spans="1:3" x14ac:dyDescent="0.25">
      <c r="A983" s="15">
        <f t="shared" si="4"/>
        <v>44141</v>
      </c>
      <c r="B983" s="72">
        <v>0.31812499999999999</v>
      </c>
      <c r="C983" s="157">
        <v>79.09</v>
      </c>
    </row>
    <row r="984" spans="1:3" x14ac:dyDescent="0.25">
      <c r="A984" s="15">
        <f t="shared" si="4"/>
        <v>44144</v>
      </c>
      <c r="B984" s="72">
        <v>0.3175</v>
      </c>
      <c r="C984" s="157">
        <v>79.34</v>
      </c>
    </row>
    <row r="985" spans="1:3" x14ac:dyDescent="0.25">
      <c r="A985" s="15">
        <f t="shared" si="4"/>
        <v>44145</v>
      </c>
      <c r="B985" s="72">
        <v>0.31812499999999999</v>
      </c>
      <c r="C985" s="157">
        <v>79.430000000000007</v>
      </c>
    </row>
    <row r="986" spans="1:3" x14ac:dyDescent="0.25">
      <c r="A986" s="15">
        <f t="shared" si="4"/>
        <v>44146</v>
      </c>
      <c r="B986" s="72">
        <v>0.31562499999999999</v>
      </c>
      <c r="C986" s="157">
        <v>79.48</v>
      </c>
    </row>
    <row r="987" spans="1:3" x14ac:dyDescent="0.25">
      <c r="A987" s="15">
        <f t="shared" si="4"/>
        <v>44147</v>
      </c>
      <c r="B987" s="72">
        <v>0.31687500000000002</v>
      </c>
      <c r="C987" s="157">
        <v>79.58</v>
      </c>
    </row>
    <row r="988" spans="1:3" x14ac:dyDescent="0.25">
      <c r="A988" s="15">
        <f t="shared" si="4"/>
        <v>44148</v>
      </c>
      <c r="B988" s="72">
        <v>0.33624999999999999</v>
      </c>
      <c r="C988" s="157">
        <v>79.73</v>
      </c>
    </row>
    <row r="989" spans="1:3" x14ac:dyDescent="0.25">
      <c r="A989" s="15">
        <f t="shared" si="4"/>
        <v>44151</v>
      </c>
      <c r="B989" s="72">
        <v>0.33875</v>
      </c>
      <c r="C989" s="157">
        <v>79.959999999999994</v>
      </c>
    </row>
    <row r="990" spans="1:3" x14ac:dyDescent="0.25">
      <c r="A990" s="15">
        <f t="shared" si="4"/>
        <v>44152</v>
      </c>
      <c r="B990" s="72">
        <v>0.33937499999999998</v>
      </c>
      <c r="C990" s="157">
        <v>80.03</v>
      </c>
    </row>
    <row r="991" spans="1:3" x14ac:dyDescent="0.25">
      <c r="A991" s="15">
        <f t="shared" si="4"/>
        <v>44153</v>
      </c>
      <c r="B991" s="72">
        <v>0.33875</v>
      </c>
      <c r="C991" s="157">
        <v>80.150000000000006</v>
      </c>
    </row>
    <row r="992" spans="1:3" x14ac:dyDescent="0.25">
      <c r="A992" s="15">
        <f t="shared" si="4"/>
        <v>44154</v>
      </c>
      <c r="B992" s="72">
        <v>0.33875</v>
      </c>
      <c r="C992" s="157">
        <v>80.27</v>
      </c>
    </row>
    <row r="993" spans="1:3" x14ac:dyDescent="0.25">
      <c r="A993" s="15">
        <f t="shared" si="4"/>
        <v>44155</v>
      </c>
      <c r="B993" s="72">
        <v>0.34062500000000001</v>
      </c>
      <c r="C993" s="157">
        <v>80.36</v>
      </c>
    </row>
    <row r="994" spans="1:3" x14ac:dyDescent="0.25">
      <c r="A994" s="15">
        <f t="shared" si="4"/>
        <v>44158</v>
      </c>
      <c r="B994" s="72">
        <v>0.34062500000000001</v>
      </c>
      <c r="C994" s="157">
        <v>80.36</v>
      </c>
    </row>
    <row r="995" spans="1:3" x14ac:dyDescent="0.25">
      <c r="A995" s="15">
        <f t="shared" si="4"/>
        <v>44159</v>
      </c>
      <c r="B995" s="72">
        <v>0.33875</v>
      </c>
      <c r="C995" s="157">
        <v>80.69</v>
      </c>
    </row>
    <row r="996" spans="1:3" x14ac:dyDescent="0.25">
      <c r="A996" s="15">
        <f t="shared" si="4"/>
        <v>44160</v>
      </c>
      <c r="B996" s="72">
        <v>0.33624999999999999</v>
      </c>
      <c r="C996" s="157">
        <v>80.790000000000006</v>
      </c>
    </row>
    <row r="997" spans="1:3" x14ac:dyDescent="0.25">
      <c r="A997" s="15">
        <f t="shared" si="4"/>
        <v>44161</v>
      </c>
      <c r="B997" s="72">
        <v>0.34062500000000001</v>
      </c>
      <c r="C997" s="157">
        <v>80.89</v>
      </c>
    </row>
    <row r="998" spans="1:3" x14ac:dyDescent="0.25">
      <c r="A998" s="15">
        <f t="shared" si="4"/>
        <v>44162</v>
      </c>
      <c r="B998" s="72">
        <v>0.33750000000000002</v>
      </c>
      <c r="C998" s="157">
        <v>81.040000000000006</v>
      </c>
    </row>
    <row r="999" spans="1:3" x14ac:dyDescent="0.25">
      <c r="A999" s="15">
        <f t="shared" si="4"/>
        <v>44165</v>
      </c>
      <c r="B999" s="72">
        <v>0.33750000000000002</v>
      </c>
      <c r="C999" s="157">
        <v>81.3</v>
      </c>
    </row>
    <row r="1000" spans="1:3" x14ac:dyDescent="0.25">
      <c r="A1000" s="15">
        <f t="shared" si="4"/>
        <v>44166</v>
      </c>
      <c r="B1000" s="72">
        <v>0.34375</v>
      </c>
      <c r="C1000" s="157">
        <v>81.400000000000006</v>
      </c>
    </row>
    <row r="1001" spans="1:3" x14ac:dyDescent="0.25">
      <c r="A1001" s="15">
        <f t="shared" si="4"/>
        <v>44167</v>
      </c>
      <c r="B1001" s="72">
        <v>0.34312500000000001</v>
      </c>
      <c r="C1001" s="157">
        <v>81.48</v>
      </c>
    </row>
    <row r="1002" spans="1:3" x14ac:dyDescent="0.25">
      <c r="A1002" s="15">
        <f t="shared" si="4"/>
        <v>44168</v>
      </c>
      <c r="B1002" s="72">
        <v>0.34187499999999998</v>
      </c>
      <c r="C1002" s="157">
        <v>81.56</v>
      </c>
    </row>
    <row r="1003" spans="1:3" x14ac:dyDescent="0.25">
      <c r="A1003" s="15">
        <f t="shared" si="4"/>
        <v>44169</v>
      </c>
      <c r="B1003" s="72">
        <v>0.34062500000000001</v>
      </c>
      <c r="C1003" s="157">
        <v>81.650000000000006</v>
      </c>
    </row>
    <row r="1004" spans="1:3" x14ac:dyDescent="0.25">
      <c r="A1004" s="15">
        <f t="shared" si="4"/>
        <v>44172</v>
      </c>
      <c r="B1004" s="72">
        <v>0.34062500000000001</v>
      </c>
      <c r="C1004" s="157">
        <v>81.650000000000006</v>
      </c>
    </row>
    <row r="1005" spans="1:3" x14ac:dyDescent="0.25">
      <c r="A1005" s="15">
        <f t="shared" si="4"/>
        <v>44173</v>
      </c>
      <c r="B1005" s="72">
        <v>0.34062500000000001</v>
      </c>
      <c r="C1005" s="157">
        <v>81.650000000000006</v>
      </c>
    </row>
    <row r="1006" spans="1:3" x14ac:dyDescent="0.25">
      <c r="A1006" s="15">
        <f t="shared" si="4"/>
        <v>44174</v>
      </c>
      <c r="B1006" s="72">
        <v>0.34250000000000003</v>
      </c>
      <c r="C1006" s="157">
        <v>82.05</v>
      </c>
    </row>
    <row r="1007" spans="1:3" x14ac:dyDescent="0.25">
      <c r="A1007" s="15">
        <f t="shared" si="4"/>
        <v>44175</v>
      </c>
      <c r="B1007" s="72">
        <v>0.34375</v>
      </c>
      <c r="C1007" s="157">
        <v>82.13</v>
      </c>
    </row>
    <row r="1008" spans="1:3" x14ac:dyDescent="0.25">
      <c r="A1008" s="15">
        <f t="shared" si="4"/>
        <v>44176</v>
      </c>
      <c r="B1008" s="72">
        <v>0.34125</v>
      </c>
      <c r="C1008" s="157">
        <v>82.22</v>
      </c>
    </row>
    <row r="1009" spans="1:3" x14ac:dyDescent="0.25">
      <c r="A1009" s="15">
        <f t="shared" si="4"/>
        <v>44179</v>
      </c>
      <c r="B1009" s="72">
        <v>0.34062500000000001</v>
      </c>
      <c r="C1009" s="157">
        <v>82.46</v>
      </c>
    </row>
    <row r="1010" spans="1:3" x14ac:dyDescent="0.25">
      <c r="A1010" s="15">
        <f t="shared" si="4"/>
        <v>44180</v>
      </c>
      <c r="B1010" s="72">
        <v>0.34499999999999997</v>
      </c>
      <c r="C1010" s="157">
        <v>82.54</v>
      </c>
    </row>
    <row r="1011" spans="1:3" x14ac:dyDescent="0.25">
      <c r="A1011" s="15">
        <f t="shared" si="4"/>
        <v>44181</v>
      </c>
      <c r="B1011" s="72">
        <v>0.34187499999999998</v>
      </c>
      <c r="C1011" s="157">
        <v>82.63</v>
      </c>
    </row>
    <row r="1012" spans="1:3" x14ac:dyDescent="0.25">
      <c r="A1012" s="15">
        <f t="shared" si="4"/>
        <v>44182</v>
      </c>
      <c r="B1012" s="72">
        <v>0.34187499999999998</v>
      </c>
      <c r="C1012" s="157">
        <v>82.72</v>
      </c>
    </row>
    <row r="1013" spans="1:3" x14ac:dyDescent="0.25">
      <c r="A1013" s="15">
        <f t="shared" si="4"/>
        <v>44183</v>
      </c>
      <c r="B1013" s="72">
        <v>0.34312500000000001</v>
      </c>
      <c r="C1013" s="157">
        <v>82.84</v>
      </c>
    </row>
    <row r="1014" spans="1:3" x14ac:dyDescent="0.25">
      <c r="A1014" s="15">
        <f t="shared" si="4"/>
        <v>44186</v>
      </c>
      <c r="B1014" s="72">
        <v>0.34250000000000003</v>
      </c>
      <c r="C1014" s="157">
        <v>83.15</v>
      </c>
    </row>
    <row r="1015" spans="1:3" x14ac:dyDescent="0.25">
      <c r="A1015" s="15">
        <f t="shared" si="4"/>
        <v>44187</v>
      </c>
      <c r="B1015" s="72">
        <v>0.34062500000000001</v>
      </c>
      <c r="C1015" s="157">
        <v>83.25</v>
      </c>
    </row>
    <row r="1016" spans="1:3" x14ac:dyDescent="0.25">
      <c r="A1016" s="15">
        <f t="shared" si="4"/>
        <v>44188</v>
      </c>
      <c r="B1016" s="72">
        <v>0.34062500000000001</v>
      </c>
      <c r="C1016" s="157">
        <v>83.36</v>
      </c>
    </row>
    <row r="1017" spans="1:3" x14ac:dyDescent="0.25">
      <c r="A1017" s="15">
        <f t="shared" si="4"/>
        <v>44189</v>
      </c>
      <c r="B1017" s="72">
        <v>0.34062500000000001</v>
      </c>
      <c r="C1017" s="157">
        <v>83.36</v>
      </c>
    </row>
    <row r="1018" spans="1:3" x14ac:dyDescent="0.25">
      <c r="A1018" s="15">
        <f t="shared" si="4"/>
        <v>44190</v>
      </c>
      <c r="B1018" s="72">
        <v>0.34062500000000001</v>
      </c>
      <c r="C1018" s="157">
        <v>83.36</v>
      </c>
    </row>
    <row r="1019" spans="1:3" x14ac:dyDescent="0.25">
      <c r="A1019" s="15">
        <f t="shared" si="4"/>
        <v>44193</v>
      </c>
      <c r="B1019" s="72">
        <v>0.34125</v>
      </c>
      <c r="C1019" s="157">
        <v>83.91</v>
      </c>
    </row>
    <row r="1020" spans="1:3" x14ac:dyDescent="0.25">
      <c r="A1020" s="15">
        <f t="shared" ref="A1020:A1083" si="5">+WORKDAY.INTL(A1019,1,1,)</f>
        <v>44194</v>
      </c>
      <c r="B1020" s="72">
        <v>0.34187499999999998</v>
      </c>
      <c r="C1020" s="157">
        <v>84.03</v>
      </c>
    </row>
    <row r="1021" spans="1:3" x14ac:dyDescent="0.25">
      <c r="A1021" s="15">
        <f t="shared" si="5"/>
        <v>44195</v>
      </c>
      <c r="B1021" s="72">
        <v>0.34250000000000003</v>
      </c>
      <c r="C1021" s="157">
        <v>84.15</v>
      </c>
    </row>
    <row r="1022" spans="1:3" x14ac:dyDescent="0.25">
      <c r="A1022" s="15">
        <f t="shared" si="5"/>
        <v>44196</v>
      </c>
      <c r="B1022" s="72">
        <v>0.34250000000000003</v>
      </c>
      <c r="C1022" s="157">
        <v>84.15</v>
      </c>
    </row>
    <row r="1023" spans="1:3" x14ac:dyDescent="0.25">
      <c r="A1023" s="15">
        <f t="shared" si="5"/>
        <v>44197</v>
      </c>
      <c r="B1023" s="72">
        <v>0.34250000000000003</v>
      </c>
      <c r="C1023" s="157">
        <v>84.15</v>
      </c>
    </row>
    <row r="1024" spans="1:3" x14ac:dyDescent="0.25">
      <c r="A1024" s="15">
        <f t="shared" si="5"/>
        <v>44200</v>
      </c>
      <c r="B1024" s="72">
        <v>0.34062500000000001</v>
      </c>
      <c r="C1024" s="157">
        <v>84.7</v>
      </c>
    </row>
    <row r="1025" spans="1:3" x14ac:dyDescent="0.25">
      <c r="A1025" s="15">
        <f t="shared" si="5"/>
        <v>44201</v>
      </c>
      <c r="B1025" s="72">
        <v>0.34312500000000001</v>
      </c>
      <c r="C1025" s="157">
        <v>84.8</v>
      </c>
    </row>
    <row r="1026" spans="1:3" x14ac:dyDescent="0.25">
      <c r="A1026" s="15">
        <f t="shared" si="5"/>
        <v>44202</v>
      </c>
      <c r="B1026" s="72">
        <v>0.33937499999999998</v>
      </c>
      <c r="C1026" s="157">
        <v>84.9</v>
      </c>
    </row>
    <row r="1027" spans="1:3" x14ac:dyDescent="0.25">
      <c r="A1027" s="15">
        <f t="shared" si="5"/>
        <v>44203</v>
      </c>
      <c r="B1027" s="72">
        <v>0.33812500000000001</v>
      </c>
      <c r="C1027" s="157">
        <v>85</v>
      </c>
    </row>
    <row r="1028" spans="1:3" x14ac:dyDescent="0.25">
      <c r="A1028" s="15">
        <f t="shared" si="5"/>
        <v>44204</v>
      </c>
      <c r="B1028" s="72">
        <v>0.34125</v>
      </c>
      <c r="C1028" s="157">
        <v>85.11</v>
      </c>
    </row>
    <row r="1029" spans="1:3" x14ac:dyDescent="0.25">
      <c r="A1029" s="15">
        <f t="shared" si="5"/>
        <v>44207</v>
      </c>
      <c r="B1029" s="72">
        <v>0.34312500000000001</v>
      </c>
      <c r="C1029" s="157">
        <v>85.38</v>
      </c>
    </row>
    <row r="1030" spans="1:3" x14ac:dyDescent="0.25">
      <c r="A1030" s="15">
        <f t="shared" si="5"/>
        <v>44208</v>
      </c>
      <c r="B1030" s="72">
        <v>0.34125</v>
      </c>
      <c r="C1030" s="157">
        <v>85.47</v>
      </c>
    </row>
    <row r="1031" spans="1:3" x14ac:dyDescent="0.25">
      <c r="A1031" s="15">
        <f t="shared" si="5"/>
        <v>44209</v>
      </c>
      <c r="B1031" s="72">
        <v>0.34</v>
      </c>
      <c r="C1031" s="157">
        <v>85.56</v>
      </c>
    </row>
    <row r="1032" spans="1:3" x14ac:dyDescent="0.25">
      <c r="A1032" s="15">
        <f t="shared" si="5"/>
        <v>44210</v>
      </c>
      <c r="B1032" s="72">
        <v>0.34375</v>
      </c>
      <c r="C1032" s="157">
        <v>85.65</v>
      </c>
    </row>
    <row r="1033" spans="1:3" x14ac:dyDescent="0.25">
      <c r="A1033" s="15">
        <f t="shared" si="5"/>
        <v>44211</v>
      </c>
      <c r="B1033" s="72">
        <v>0.34562500000000002</v>
      </c>
      <c r="C1033" s="157">
        <v>85.74</v>
      </c>
    </row>
    <row r="1034" spans="1:3" x14ac:dyDescent="0.25">
      <c r="A1034" s="15">
        <f t="shared" si="5"/>
        <v>44214</v>
      </c>
      <c r="B1034" s="72">
        <v>0.34187499999999998</v>
      </c>
      <c r="C1034" s="157">
        <v>86.07</v>
      </c>
    </row>
    <row r="1035" spans="1:3" x14ac:dyDescent="0.25">
      <c r="A1035" s="15">
        <f t="shared" si="5"/>
        <v>44215</v>
      </c>
      <c r="B1035" s="72">
        <v>0.34187499999999998</v>
      </c>
      <c r="C1035" s="157">
        <v>86.2</v>
      </c>
    </row>
    <row r="1036" spans="1:3" x14ac:dyDescent="0.25">
      <c r="A1036" s="15">
        <f t="shared" si="5"/>
        <v>44216</v>
      </c>
      <c r="B1036" s="72">
        <v>0.34312500000000001</v>
      </c>
      <c r="C1036" s="157">
        <v>86.32</v>
      </c>
    </row>
    <row r="1037" spans="1:3" x14ac:dyDescent="0.25">
      <c r="A1037" s="15">
        <f t="shared" si="5"/>
        <v>44217</v>
      </c>
      <c r="B1037" s="72">
        <v>0.34</v>
      </c>
      <c r="C1037" s="157">
        <v>86.43</v>
      </c>
    </row>
    <row r="1038" spans="1:3" x14ac:dyDescent="0.25">
      <c r="A1038" s="15">
        <f t="shared" si="5"/>
        <v>44218</v>
      </c>
      <c r="B1038" s="72">
        <v>0.34</v>
      </c>
      <c r="C1038" s="157">
        <v>86.55</v>
      </c>
    </row>
    <row r="1039" spans="1:3" x14ac:dyDescent="0.25">
      <c r="A1039" s="15">
        <f t="shared" si="5"/>
        <v>44221</v>
      </c>
      <c r="B1039" s="72">
        <v>0.33812500000000001</v>
      </c>
      <c r="C1039" s="157">
        <v>86.91</v>
      </c>
    </row>
    <row r="1040" spans="1:3" x14ac:dyDescent="0.25">
      <c r="A1040" s="15">
        <f t="shared" si="5"/>
        <v>44222</v>
      </c>
      <c r="B1040" s="72">
        <v>0.33875</v>
      </c>
      <c r="C1040" s="157">
        <v>87.02</v>
      </c>
    </row>
    <row r="1041" spans="1:3" x14ac:dyDescent="0.25">
      <c r="A1041" s="15">
        <f t="shared" si="5"/>
        <v>44223</v>
      </c>
      <c r="B1041" s="72">
        <v>0.34062500000000001</v>
      </c>
      <c r="C1041" s="157">
        <v>87.12</v>
      </c>
    </row>
    <row r="1042" spans="1:3" x14ac:dyDescent="0.25">
      <c r="A1042" s="15">
        <f t="shared" si="5"/>
        <v>44224</v>
      </c>
      <c r="B1042" s="72">
        <v>0.34187499999999998</v>
      </c>
      <c r="C1042" s="157">
        <v>87.22</v>
      </c>
    </row>
    <row r="1043" spans="1:3" x14ac:dyDescent="0.25">
      <c r="A1043" s="15">
        <f t="shared" si="5"/>
        <v>44225</v>
      </c>
      <c r="B1043" s="72">
        <v>0.34187499999999998</v>
      </c>
      <c r="C1043" s="157">
        <v>87.3</v>
      </c>
    </row>
    <row r="1044" spans="1:3" x14ac:dyDescent="0.25">
      <c r="A1044" s="15">
        <f t="shared" si="5"/>
        <v>44228</v>
      </c>
      <c r="B1044" s="72">
        <v>0.34187499999999998</v>
      </c>
      <c r="C1044" s="157">
        <v>87.61</v>
      </c>
    </row>
    <row r="1045" spans="1:3" x14ac:dyDescent="0.25">
      <c r="A1045" s="15">
        <f t="shared" si="5"/>
        <v>44229</v>
      </c>
      <c r="B1045" s="72">
        <v>0.34187499999999998</v>
      </c>
      <c r="C1045" s="157">
        <v>87.7</v>
      </c>
    </row>
    <row r="1046" spans="1:3" x14ac:dyDescent="0.25">
      <c r="A1046" s="15">
        <f t="shared" si="5"/>
        <v>44230</v>
      </c>
      <c r="B1046" s="72">
        <v>0.34</v>
      </c>
      <c r="C1046" s="157">
        <v>87.81</v>
      </c>
    </row>
    <row r="1047" spans="1:3" x14ac:dyDescent="0.25">
      <c r="A1047" s="15">
        <f t="shared" si="5"/>
        <v>44231</v>
      </c>
      <c r="B1047" s="72">
        <v>0.34187499999999998</v>
      </c>
      <c r="C1047" s="157">
        <v>87.91</v>
      </c>
    </row>
    <row r="1048" spans="1:3" x14ac:dyDescent="0.25">
      <c r="A1048" s="15">
        <f t="shared" si="5"/>
        <v>44232</v>
      </c>
      <c r="B1048" s="72">
        <v>0.34062500000000001</v>
      </c>
      <c r="C1048" s="157">
        <v>88.01</v>
      </c>
    </row>
    <row r="1049" spans="1:3" x14ac:dyDescent="0.25">
      <c r="A1049" s="15">
        <f t="shared" si="5"/>
        <v>44235</v>
      </c>
      <c r="B1049" s="72">
        <v>0.34125</v>
      </c>
      <c r="C1049" s="157">
        <v>88.17</v>
      </c>
    </row>
    <row r="1050" spans="1:3" x14ac:dyDescent="0.25">
      <c r="A1050" s="15">
        <f t="shared" si="5"/>
        <v>44236</v>
      </c>
      <c r="B1050" s="72">
        <v>0.34250000000000003</v>
      </c>
      <c r="C1050" s="157">
        <v>88.28</v>
      </c>
    </row>
    <row r="1051" spans="1:3" x14ac:dyDescent="0.25">
      <c r="A1051" s="15">
        <f t="shared" si="5"/>
        <v>44237</v>
      </c>
      <c r="B1051" s="72">
        <v>0.34187499999999998</v>
      </c>
      <c r="C1051" s="157">
        <v>88.36</v>
      </c>
    </row>
    <row r="1052" spans="1:3" x14ac:dyDescent="0.25">
      <c r="A1052" s="15">
        <f t="shared" si="5"/>
        <v>44238</v>
      </c>
      <c r="B1052" s="72">
        <v>0.34125</v>
      </c>
      <c r="C1052" s="157">
        <v>88.45</v>
      </c>
    </row>
    <row r="1053" spans="1:3" x14ac:dyDescent="0.25">
      <c r="A1053" s="15">
        <f t="shared" si="5"/>
        <v>44239</v>
      </c>
      <c r="B1053" s="72">
        <v>0.34</v>
      </c>
      <c r="C1053" s="157">
        <v>88.54</v>
      </c>
    </row>
    <row r="1054" spans="1:3" x14ac:dyDescent="0.25">
      <c r="A1054" s="15">
        <f t="shared" si="5"/>
        <v>44242</v>
      </c>
      <c r="B1054" s="72">
        <v>0.34</v>
      </c>
      <c r="C1054" s="157">
        <v>88.54</v>
      </c>
    </row>
    <row r="1055" spans="1:3" x14ac:dyDescent="0.25">
      <c r="A1055" s="15">
        <f t="shared" si="5"/>
        <v>44243</v>
      </c>
      <c r="B1055" s="72">
        <v>0.34</v>
      </c>
      <c r="C1055" s="157">
        <v>88.54</v>
      </c>
    </row>
    <row r="1056" spans="1:3" x14ac:dyDescent="0.25">
      <c r="A1056" s="15">
        <f t="shared" si="5"/>
        <v>44244</v>
      </c>
      <c r="B1056" s="72">
        <v>0.34250000000000003</v>
      </c>
      <c r="C1056" s="157">
        <v>88.95</v>
      </c>
    </row>
    <row r="1057" spans="1:3" x14ac:dyDescent="0.25">
      <c r="A1057" s="15">
        <f t="shared" si="5"/>
        <v>44245</v>
      </c>
      <c r="B1057" s="72">
        <v>0.34250000000000003</v>
      </c>
      <c r="C1057" s="157">
        <v>89.05</v>
      </c>
    </row>
    <row r="1058" spans="1:3" x14ac:dyDescent="0.25">
      <c r="A1058" s="15">
        <f t="shared" si="5"/>
        <v>44246</v>
      </c>
      <c r="B1058" s="72">
        <v>0.33750000000000002</v>
      </c>
      <c r="C1058" s="157">
        <v>89.16</v>
      </c>
    </row>
    <row r="1059" spans="1:3" x14ac:dyDescent="0.25">
      <c r="A1059" s="15">
        <f t="shared" si="5"/>
        <v>44249</v>
      </c>
      <c r="B1059" s="72">
        <v>0.34125</v>
      </c>
      <c r="C1059" s="157">
        <v>89.44</v>
      </c>
    </row>
    <row r="1060" spans="1:3" x14ac:dyDescent="0.25">
      <c r="A1060" s="15">
        <f t="shared" si="5"/>
        <v>44250</v>
      </c>
      <c r="B1060" s="72">
        <v>0.34125</v>
      </c>
      <c r="C1060" s="157">
        <v>89.54</v>
      </c>
    </row>
    <row r="1061" spans="1:3" x14ac:dyDescent="0.25">
      <c r="A1061" s="15">
        <f t="shared" si="5"/>
        <v>44251</v>
      </c>
      <c r="B1061" s="72">
        <v>0.34187499999999998</v>
      </c>
      <c r="C1061" s="157">
        <v>89.64</v>
      </c>
    </row>
    <row r="1062" spans="1:3" x14ac:dyDescent="0.25">
      <c r="A1062" s="15">
        <f t="shared" si="5"/>
        <v>44252</v>
      </c>
      <c r="B1062" s="72">
        <v>0.34187499999999998</v>
      </c>
      <c r="C1062" s="157">
        <v>89.75</v>
      </c>
    </row>
    <row r="1063" spans="1:3" x14ac:dyDescent="0.25">
      <c r="A1063" s="15">
        <f t="shared" si="5"/>
        <v>44253</v>
      </c>
      <c r="B1063" s="72">
        <v>0.33624999999999999</v>
      </c>
      <c r="C1063" s="157">
        <v>89.83</v>
      </c>
    </row>
    <row r="1064" spans="1:3" x14ac:dyDescent="0.25">
      <c r="A1064" s="15">
        <f t="shared" si="5"/>
        <v>44256</v>
      </c>
      <c r="B1064" s="72">
        <v>0.34062500000000001</v>
      </c>
      <c r="C1064" s="157">
        <v>90.09</v>
      </c>
    </row>
    <row r="1065" spans="1:3" x14ac:dyDescent="0.25">
      <c r="A1065" s="15">
        <f t="shared" si="5"/>
        <v>44257</v>
      </c>
      <c r="B1065" s="72">
        <v>0.34062500000000001</v>
      </c>
      <c r="C1065" s="157">
        <v>90.16</v>
      </c>
    </row>
    <row r="1066" spans="1:3" x14ac:dyDescent="0.25">
      <c r="A1066" s="15">
        <f t="shared" si="5"/>
        <v>44258</v>
      </c>
      <c r="B1066" s="72">
        <v>0.34187499999999998</v>
      </c>
      <c r="C1066" s="157">
        <v>90.22</v>
      </c>
    </row>
    <row r="1067" spans="1:3" x14ac:dyDescent="0.25">
      <c r="A1067" s="15">
        <f t="shared" si="5"/>
        <v>44259</v>
      </c>
      <c r="B1067" s="72">
        <v>0.33875</v>
      </c>
      <c r="C1067" s="157">
        <v>90.3</v>
      </c>
    </row>
    <row r="1068" spans="1:3" x14ac:dyDescent="0.25">
      <c r="A1068" s="15">
        <f t="shared" si="5"/>
        <v>44260</v>
      </c>
      <c r="B1068" s="72">
        <v>0.33875</v>
      </c>
      <c r="C1068" s="157">
        <v>90.37</v>
      </c>
    </row>
    <row r="1069" spans="1:3" x14ac:dyDescent="0.25">
      <c r="A1069" s="15">
        <f t="shared" si="5"/>
        <v>44263</v>
      </c>
      <c r="B1069" s="72">
        <v>0.34187499999999998</v>
      </c>
      <c r="C1069" s="157">
        <v>90.58</v>
      </c>
    </row>
    <row r="1070" spans="1:3" x14ac:dyDescent="0.25">
      <c r="A1070" s="15">
        <f t="shared" si="5"/>
        <v>44264</v>
      </c>
      <c r="B1070" s="72">
        <v>0.34062500000000001</v>
      </c>
      <c r="C1070" s="157">
        <v>90.65</v>
      </c>
    </row>
    <row r="1071" spans="1:3" x14ac:dyDescent="0.25">
      <c r="A1071" s="15">
        <f t="shared" si="5"/>
        <v>44265</v>
      </c>
      <c r="B1071" s="72">
        <v>0.34</v>
      </c>
      <c r="C1071" s="157">
        <v>90.72</v>
      </c>
    </row>
    <row r="1072" spans="1:3" x14ac:dyDescent="0.25">
      <c r="A1072" s="15">
        <f t="shared" si="5"/>
        <v>44266</v>
      </c>
      <c r="B1072" s="72">
        <v>0.34187499999999998</v>
      </c>
      <c r="C1072" s="157">
        <v>90.79</v>
      </c>
    </row>
    <row r="1073" spans="1:3" x14ac:dyDescent="0.25">
      <c r="A1073" s="15">
        <f t="shared" si="5"/>
        <v>44267</v>
      </c>
      <c r="B1073" s="72">
        <v>0.34187499999999998</v>
      </c>
      <c r="C1073" s="157">
        <v>90.86</v>
      </c>
    </row>
    <row r="1074" spans="1:3" x14ac:dyDescent="0.25">
      <c r="A1074" s="15">
        <f t="shared" si="5"/>
        <v>44270</v>
      </c>
      <c r="B1074" s="72">
        <v>0.34</v>
      </c>
      <c r="C1074" s="157">
        <v>91.07</v>
      </c>
    </row>
    <row r="1075" spans="1:3" x14ac:dyDescent="0.25">
      <c r="A1075" s="15">
        <f t="shared" si="5"/>
        <v>44271</v>
      </c>
      <c r="B1075" s="72">
        <v>0.34062500000000001</v>
      </c>
      <c r="C1075" s="157">
        <v>91.14</v>
      </c>
    </row>
    <row r="1076" spans="1:3" x14ac:dyDescent="0.25">
      <c r="A1076" s="15">
        <f t="shared" si="5"/>
        <v>44272</v>
      </c>
      <c r="B1076" s="72">
        <v>0.34125</v>
      </c>
      <c r="C1076" s="157">
        <v>91.21</v>
      </c>
    </row>
    <row r="1077" spans="1:3" x14ac:dyDescent="0.25">
      <c r="A1077" s="15">
        <f t="shared" si="5"/>
        <v>44273</v>
      </c>
      <c r="B1077" s="72">
        <v>0.34062500000000001</v>
      </c>
      <c r="C1077" s="157">
        <v>91.28</v>
      </c>
    </row>
    <row r="1078" spans="1:3" x14ac:dyDescent="0.25">
      <c r="A1078" s="15">
        <f t="shared" si="5"/>
        <v>44274</v>
      </c>
      <c r="B1078" s="72">
        <v>0.34125</v>
      </c>
      <c r="C1078" s="157">
        <v>91.36</v>
      </c>
    </row>
    <row r="1079" spans="1:3" x14ac:dyDescent="0.25">
      <c r="A1079" s="15">
        <f t="shared" si="5"/>
        <v>44277</v>
      </c>
      <c r="B1079" s="72">
        <v>0.34125</v>
      </c>
      <c r="C1079" s="157">
        <v>91.57</v>
      </c>
    </row>
    <row r="1080" spans="1:3" x14ac:dyDescent="0.25">
      <c r="A1080" s="15">
        <f t="shared" si="5"/>
        <v>44278</v>
      </c>
      <c r="B1080" s="72">
        <v>0.34187499999999998</v>
      </c>
      <c r="C1080" s="157">
        <v>91.64</v>
      </c>
    </row>
    <row r="1081" spans="1:3" x14ac:dyDescent="0.25">
      <c r="A1081" s="15">
        <f t="shared" si="5"/>
        <v>44279</v>
      </c>
      <c r="B1081" s="72">
        <v>0.34187499999999998</v>
      </c>
      <c r="C1081" s="157">
        <v>91.64</v>
      </c>
    </row>
    <row r="1082" spans="1:3" x14ac:dyDescent="0.25">
      <c r="A1082" s="15">
        <f t="shared" si="5"/>
        <v>44280</v>
      </c>
      <c r="B1082" s="72">
        <v>0.34</v>
      </c>
      <c r="C1082" s="157">
        <v>91.78</v>
      </c>
    </row>
    <row r="1083" spans="1:3" x14ac:dyDescent="0.25">
      <c r="A1083" s="15">
        <f t="shared" si="5"/>
        <v>44281</v>
      </c>
      <c r="B1083" s="72">
        <v>0.34187499999999998</v>
      </c>
      <c r="C1083" s="157">
        <v>91.85</v>
      </c>
    </row>
    <row r="1084" spans="1:3" x14ac:dyDescent="0.25">
      <c r="A1084" s="15">
        <f t="shared" ref="A1084:A1147" si="6">+WORKDAY.INTL(A1083,1,1,)</f>
        <v>44284</v>
      </c>
      <c r="B1084" s="72">
        <v>0.33750000000000002</v>
      </c>
      <c r="C1084" s="157">
        <v>91.92</v>
      </c>
    </row>
    <row r="1085" spans="1:3" x14ac:dyDescent="0.25">
      <c r="A1085" s="15">
        <f t="shared" si="6"/>
        <v>44285</v>
      </c>
      <c r="B1085" s="72">
        <v>0.34125</v>
      </c>
      <c r="C1085" s="157">
        <v>91.96</v>
      </c>
    </row>
    <row r="1086" spans="1:3" x14ac:dyDescent="0.25">
      <c r="A1086" s="15">
        <f t="shared" si="6"/>
        <v>44286</v>
      </c>
      <c r="B1086" s="72">
        <v>0.34062500000000001</v>
      </c>
      <c r="C1086" s="157">
        <v>91.99</v>
      </c>
    </row>
    <row r="1087" spans="1:3" x14ac:dyDescent="0.25">
      <c r="A1087" s="15">
        <f t="shared" si="6"/>
        <v>44287</v>
      </c>
      <c r="B1087" s="72">
        <v>0.34062500000000001</v>
      </c>
      <c r="C1087" s="157">
        <v>91.99</v>
      </c>
    </row>
    <row r="1088" spans="1:3" x14ac:dyDescent="0.25">
      <c r="A1088" s="15">
        <f t="shared" si="6"/>
        <v>44288</v>
      </c>
      <c r="B1088" s="72">
        <v>0.34062500000000001</v>
      </c>
      <c r="C1088" s="157">
        <v>91.99</v>
      </c>
    </row>
    <row r="1089" spans="1:3" x14ac:dyDescent="0.25">
      <c r="A1089" s="15">
        <f t="shared" si="6"/>
        <v>44291</v>
      </c>
      <c r="B1089" s="72">
        <v>0.33937499999999998</v>
      </c>
      <c r="C1089" s="157">
        <v>92.24</v>
      </c>
    </row>
    <row r="1090" spans="1:3" x14ac:dyDescent="0.25">
      <c r="A1090" s="15">
        <f t="shared" si="6"/>
        <v>44292</v>
      </c>
      <c r="B1090" s="72">
        <v>0.34125</v>
      </c>
      <c r="C1090" s="157">
        <v>92.29</v>
      </c>
    </row>
    <row r="1091" spans="1:3" x14ac:dyDescent="0.25">
      <c r="A1091" s="15">
        <f t="shared" si="6"/>
        <v>44293</v>
      </c>
      <c r="B1091" s="72">
        <v>0.34062500000000001</v>
      </c>
      <c r="C1091" s="157">
        <v>92.34</v>
      </c>
    </row>
    <row r="1092" spans="1:3" x14ac:dyDescent="0.25">
      <c r="A1092" s="15">
        <f t="shared" si="6"/>
        <v>44294</v>
      </c>
      <c r="B1092" s="72">
        <v>0.34062500000000001</v>
      </c>
      <c r="C1092" s="157">
        <v>92.39</v>
      </c>
    </row>
    <row r="1093" spans="1:3" x14ac:dyDescent="0.25">
      <c r="A1093" s="15">
        <f t="shared" si="6"/>
        <v>44295</v>
      </c>
      <c r="B1093" s="72">
        <v>0.34062500000000001</v>
      </c>
      <c r="C1093" s="157">
        <v>92.44</v>
      </c>
    </row>
    <row r="1094" spans="1:3" x14ac:dyDescent="0.25">
      <c r="A1094" s="15">
        <f t="shared" si="6"/>
        <v>44298</v>
      </c>
      <c r="B1094" s="72">
        <v>0.34187499999999998</v>
      </c>
      <c r="C1094" s="157">
        <v>92.58</v>
      </c>
    </row>
    <row r="1095" spans="1:3" x14ac:dyDescent="0.25">
      <c r="A1095" s="15">
        <f t="shared" si="6"/>
        <v>44299</v>
      </c>
      <c r="B1095" s="72">
        <v>0.34187499999999998</v>
      </c>
      <c r="C1095" s="157">
        <v>92.63</v>
      </c>
    </row>
    <row r="1096" spans="1:3" x14ac:dyDescent="0.25">
      <c r="A1096" s="15">
        <f t="shared" si="6"/>
        <v>44300</v>
      </c>
      <c r="B1096" s="72">
        <v>0.34</v>
      </c>
      <c r="C1096" s="157">
        <v>92.68</v>
      </c>
    </row>
    <row r="1097" spans="1:3" x14ac:dyDescent="0.25">
      <c r="A1097" s="15">
        <f t="shared" si="6"/>
        <v>44301</v>
      </c>
      <c r="B1097" s="72">
        <v>0.34062500000000001</v>
      </c>
      <c r="C1097" s="157">
        <v>92.73</v>
      </c>
    </row>
    <row r="1098" spans="1:3" x14ac:dyDescent="0.25">
      <c r="A1098" s="15">
        <f t="shared" si="6"/>
        <v>44302</v>
      </c>
      <c r="B1098" s="72">
        <v>0.34125</v>
      </c>
      <c r="C1098" s="157">
        <v>92.78</v>
      </c>
    </row>
    <row r="1099" spans="1:3" x14ac:dyDescent="0.25">
      <c r="A1099" s="15">
        <f t="shared" si="6"/>
        <v>44305</v>
      </c>
      <c r="B1099" s="72">
        <v>0.34187499999999998</v>
      </c>
      <c r="C1099" s="157">
        <v>92.93</v>
      </c>
    </row>
    <row r="1100" spans="1:3" x14ac:dyDescent="0.25">
      <c r="A1100" s="15">
        <f t="shared" si="6"/>
        <v>44306</v>
      </c>
      <c r="B1100" s="72">
        <v>0.34062500000000001</v>
      </c>
      <c r="C1100" s="157">
        <v>92.98</v>
      </c>
    </row>
    <row r="1101" spans="1:3" x14ac:dyDescent="0.25">
      <c r="A1101" s="15">
        <f t="shared" si="6"/>
        <v>44307</v>
      </c>
      <c r="B1101" s="72">
        <v>0.34125</v>
      </c>
      <c r="C1101" s="157">
        <v>93.03</v>
      </c>
    </row>
    <row r="1102" spans="1:3" x14ac:dyDescent="0.25">
      <c r="A1102" s="15">
        <f t="shared" si="6"/>
        <v>44308</v>
      </c>
      <c r="B1102" s="72">
        <v>0.34250000000000003</v>
      </c>
      <c r="C1102" s="157">
        <v>93.08</v>
      </c>
    </row>
    <row r="1103" spans="1:3" x14ac:dyDescent="0.25">
      <c r="A1103" s="15">
        <f t="shared" si="6"/>
        <v>44309</v>
      </c>
      <c r="B1103" s="72">
        <v>0.34125</v>
      </c>
      <c r="C1103" s="157">
        <v>93.13</v>
      </c>
    </row>
    <row r="1104" spans="1:3" x14ac:dyDescent="0.25">
      <c r="A1104" s="15">
        <f t="shared" si="6"/>
        <v>44312</v>
      </c>
      <c r="B1104" s="72">
        <v>0.34062500000000001</v>
      </c>
      <c r="C1104" s="157">
        <v>93.28</v>
      </c>
    </row>
    <row r="1105" spans="1:3" x14ac:dyDescent="0.25">
      <c r="A1105" s="15">
        <f t="shared" si="6"/>
        <v>44313</v>
      </c>
      <c r="B1105" s="72">
        <v>0.34125</v>
      </c>
      <c r="C1105" s="157">
        <v>93.34</v>
      </c>
    </row>
    <row r="1106" spans="1:3" x14ac:dyDescent="0.25">
      <c r="A1106" s="15">
        <f t="shared" si="6"/>
        <v>44314</v>
      </c>
      <c r="B1106" s="72">
        <v>0.33937499999999998</v>
      </c>
      <c r="C1106" s="157">
        <v>93.42</v>
      </c>
    </row>
    <row r="1107" spans="1:3" x14ac:dyDescent="0.25">
      <c r="A1107" s="15">
        <f t="shared" si="6"/>
        <v>44315</v>
      </c>
      <c r="B1107" s="72">
        <v>0.34187499999999998</v>
      </c>
      <c r="C1107" s="157">
        <v>93.5</v>
      </c>
    </row>
    <row r="1108" spans="1:3" x14ac:dyDescent="0.25">
      <c r="A1108" s="15">
        <f t="shared" si="6"/>
        <v>44316</v>
      </c>
      <c r="B1108" s="72">
        <v>0.34062500000000001</v>
      </c>
      <c r="C1108" s="157">
        <v>93.56</v>
      </c>
    </row>
    <row r="1109" spans="1:3" x14ac:dyDescent="0.25">
      <c r="A1109" s="15">
        <f t="shared" si="6"/>
        <v>44319</v>
      </c>
      <c r="B1109" s="72">
        <v>0.34250000000000003</v>
      </c>
      <c r="C1109" s="157">
        <v>93.68</v>
      </c>
    </row>
    <row r="1110" spans="1:3" x14ac:dyDescent="0.25">
      <c r="A1110" s="15">
        <f t="shared" si="6"/>
        <v>44320</v>
      </c>
      <c r="B1110" s="72">
        <v>0.34125</v>
      </c>
      <c r="C1110" s="157">
        <v>93.72</v>
      </c>
    </row>
    <row r="1111" spans="1:3" x14ac:dyDescent="0.25">
      <c r="A1111" s="15">
        <f t="shared" si="6"/>
        <v>44321</v>
      </c>
      <c r="B1111" s="72">
        <v>0.33875</v>
      </c>
      <c r="C1111" s="157">
        <v>93.76</v>
      </c>
    </row>
    <row r="1112" spans="1:3" x14ac:dyDescent="0.25">
      <c r="A1112" s="15">
        <f t="shared" si="6"/>
        <v>44322</v>
      </c>
      <c r="B1112" s="72">
        <v>0.34125</v>
      </c>
      <c r="C1112" s="157">
        <v>93.8</v>
      </c>
    </row>
    <row r="1113" spans="1:3" x14ac:dyDescent="0.25">
      <c r="A1113" s="15">
        <f t="shared" si="6"/>
        <v>44323</v>
      </c>
      <c r="B1113" s="72">
        <v>0.34125</v>
      </c>
      <c r="C1113" s="157">
        <v>93.84</v>
      </c>
    </row>
    <row r="1114" spans="1:3" x14ac:dyDescent="0.25">
      <c r="A1114" s="15">
        <f t="shared" si="6"/>
        <v>44326</v>
      </c>
      <c r="B1114" s="72">
        <v>0.34</v>
      </c>
      <c r="C1114" s="157">
        <v>93.93</v>
      </c>
    </row>
    <row r="1115" spans="1:3" x14ac:dyDescent="0.25">
      <c r="A1115" s="15">
        <f t="shared" si="6"/>
        <v>44327</v>
      </c>
      <c r="B1115" s="72">
        <v>0.34125</v>
      </c>
      <c r="C1115" s="157">
        <v>93.96</v>
      </c>
    </row>
    <row r="1116" spans="1:3" x14ac:dyDescent="0.25">
      <c r="A1116" s="15">
        <f t="shared" si="6"/>
        <v>44328</v>
      </c>
      <c r="B1116" s="72">
        <v>0.34187499999999998</v>
      </c>
      <c r="C1116" s="157">
        <v>93.99</v>
      </c>
    </row>
    <row r="1117" spans="1:3" x14ac:dyDescent="0.25">
      <c r="A1117" s="15">
        <f t="shared" si="6"/>
        <v>44329</v>
      </c>
      <c r="B1117" s="72">
        <v>0.34187499999999998</v>
      </c>
      <c r="C1117" s="157">
        <v>94.02</v>
      </c>
    </row>
    <row r="1118" spans="1:3" x14ac:dyDescent="0.25">
      <c r="A1118" s="15">
        <f t="shared" si="6"/>
        <v>44330</v>
      </c>
      <c r="B1118" s="72">
        <v>0.34062500000000001</v>
      </c>
      <c r="C1118" s="157">
        <v>94.05</v>
      </c>
    </row>
    <row r="1119" spans="1:3" x14ac:dyDescent="0.25">
      <c r="A1119" s="15">
        <f t="shared" si="6"/>
        <v>44333</v>
      </c>
      <c r="B1119" s="72">
        <v>0.34062500000000001</v>
      </c>
      <c r="C1119" s="157">
        <v>94.14</v>
      </c>
    </row>
    <row r="1120" spans="1:3" x14ac:dyDescent="0.25">
      <c r="A1120" s="15">
        <f t="shared" si="6"/>
        <v>44334</v>
      </c>
      <c r="B1120" s="72">
        <v>0.34187499999999998</v>
      </c>
      <c r="C1120" s="157">
        <v>94.17</v>
      </c>
    </row>
    <row r="1121" spans="1:3" x14ac:dyDescent="0.25">
      <c r="A1121" s="15">
        <f t="shared" si="6"/>
        <v>44335</v>
      </c>
      <c r="B1121" s="72">
        <v>0.34187499999999998</v>
      </c>
      <c r="C1121" s="157">
        <v>94.21</v>
      </c>
    </row>
    <row r="1122" spans="1:3" x14ac:dyDescent="0.25">
      <c r="A1122" s="15">
        <f t="shared" si="6"/>
        <v>44336</v>
      </c>
      <c r="B1122" s="72">
        <v>0.34125</v>
      </c>
      <c r="C1122" s="157">
        <v>94.25</v>
      </c>
    </row>
    <row r="1123" spans="1:3" x14ac:dyDescent="0.25">
      <c r="A1123" s="15">
        <f t="shared" si="6"/>
        <v>44337</v>
      </c>
      <c r="B1123" s="72">
        <v>0.34062500000000001</v>
      </c>
      <c r="C1123" s="157">
        <v>94.28</v>
      </c>
    </row>
    <row r="1124" spans="1:3" x14ac:dyDescent="0.25">
      <c r="A1124" s="15">
        <f t="shared" si="6"/>
        <v>44340</v>
      </c>
      <c r="B1124" s="72">
        <v>0.34062500000000001</v>
      </c>
      <c r="C1124" s="157">
        <v>94.28</v>
      </c>
    </row>
    <row r="1125" spans="1:3" x14ac:dyDescent="0.25">
      <c r="A1125" s="15">
        <f t="shared" si="6"/>
        <v>44341</v>
      </c>
      <c r="B1125" s="72">
        <v>0.34062500000000001</v>
      </c>
      <c r="C1125" s="157">
        <v>94.28</v>
      </c>
    </row>
    <row r="1126" spans="1:3" x14ac:dyDescent="0.25">
      <c r="A1126" s="15">
        <f t="shared" si="6"/>
        <v>44342</v>
      </c>
      <c r="B1126" s="72">
        <v>0.34187499999999998</v>
      </c>
      <c r="C1126" s="157">
        <v>94.49</v>
      </c>
    </row>
    <row r="1127" spans="1:3" x14ac:dyDescent="0.25">
      <c r="A1127" s="15">
        <f t="shared" si="6"/>
        <v>44343</v>
      </c>
      <c r="B1127" s="72">
        <v>0.34125</v>
      </c>
      <c r="C1127" s="157">
        <v>94.53</v>
      </c>
    </row>
    <row r="1128" spans="1:3" x14ac:dyDescent="0.25">
      <c r="A1128" s="15">
        <f t="shared" si="6"/>
        <v>44344</v>
      </c>
      <c r="B1128" s="72">
        <v>0.34062500000000001</v>
      </c>
      <c r="C1128" s="157">
        <v>94.57</v>
      </c>
    </row>
    <row r="1129" spans="1:3" x14ac:dyDescent="0.25">
      <c r="A1129" s="15">
        <f t="shared" si="6"/>
        <v>44347</v>
      </c>
      <c r="B1129" s="72">
        <v>0.34125</v>
      </c>
      <c r="C1129" s="157">
        <v>94.69</v>
      </c>
    </row>
    <row r="1130" spans="1:3" x14ac:dyDescent="0.25">
      <c r="A1130" s="15">
        <f t="shared" si="6"/>
        <v>44348</v>
      </c>
      <c r="B1130" s="72">
        <v>0.34062500000000001</v>
      </c>
      <c r="C1130" s="157">
        <v>94.74</v>
      </c>
    </row>
    <row r="1131" spans="1:3" x14ac:dyDescent="0.25">
      <c r="A1131" s="15">
        <f t="shared" si="6"/>
        <v>44349</v>
      </c>
      <c r="B1131" s="72">
        <v>0.34187499999999998</v>
      </c>
      <c r="C1131" s="157">
        <v>94.78</v>
      </c>
    </row>
    <row r="1132" spans="1:3" x14ac:dyDescent="0.25">
      <c r="A1132" s="15">
        <f t="shared" si="6"/>
        <v>44350</v>
      </c>
      <c r="B1132" s="72">
        <v>0.34125</v>
      </c>
      <c r="C1132" s="157">
        <v>94.82</v>
      </c>
    </row>
    <row r="1133" spans="1:3" x14ac:dyDescent="0.25">
      <c r="A1133" s="15">
        <f t="shared" si="6"/>
        <v>44351</v>
      </c>
      <c r="B1133" s="72">
        <v>0.33875</v>
      </c>
      <c r="C1133" s="157">
        <v>94.86</v>
      </c>
    </row>
    <row r="1134" spans="1:3" x14ac:dyDescent="0.25">
      <c r="A1134" s="15">
        <f t="shared" si="6"/>
        <v>44354</v>
      </c>
      <c r="B1134" s="72">
        <v>0.34250000000000003</v>
      </c>
      <c r="C1134" s="157">
        <v>94.98</v>
      </c>
    </row>
    <row r="1135" spans="1:3" x14ac:dyDescent="0.25">
      <c r="A1135" s="15">
        <f t="shared" si="6"/>
        <v>44355</v>
      </c>
      <c r="B1135" s="72">
        <v>0.34187499999999998</v>
      </c>
      <c r="C1135" s="157">
        <v>95.02</v>
      </c>
    </row>
    <row r="1136" spans="1:3" x14ac:dyDescent="0.25">
      <c r="A1136" s="15">
        <f t="shared" si="6"/>
        <v>44356</v>
      </c>
      <c r="B1136" s="72">
        <v>0.34</v>
      </c>
      <c r="C1136" s="157">
        <v>95.06</v>
      </c>
    </row>
    <row r="1137" spans="1:3" x14ac:dyDescent="0.25">
      <c r="A1137" s="15">
        <f t="shared" si="6"/>
        <v>44357</v>
      </c>
      <c r="B1137" s="72">
        <v>0.34250000000000003</v>
      </c>
      <c r="C1137" s="157">
        <v>95.1</v>
      </c>
    </row>
    <row r="1138" spans="1:3" x14ac:dyDescent="0.25">
      <c r="A1138" s="15">
        <f t="shared" si="6"/>
        <v>44358</v>
      </c>
      <c r="B1138" s="72">
        <v>0.34125</v>
      </c>
      <c r="C1138" s="157">
        <v>95.14</v>
      </c>
    </row>
    <row r="1139" spans="1:3" x14ac:dyDescent="0.25">
      <c r="A1139" s="15">
        <f t="shared" si="6"/>
        <v>44361</v>
      </c>
      <c r="B1139" s="72">
        <v>0.34125</v>
      </c>
      <c r="C1139" s="157">
        <v>95.26</v>
      </c>
    </row>
    <row r="1140" spans="1:3" x14ac:dyDescent="0.25">
      <c r="A1140" s="15">
        <f t="shared" si="6"/>
        <v>44362</v>
      </c>
      <c r="B1140" s="72">
        <v>0.34187499999999998</v>
      </c>
      <c r="C1140" s="157">
        <v>95.29</v>
      </c>
    </row>
    <row r="1141" spans="1:3" x14ac:dyDescent="0.25">
      <c r="A1141" s="15">
        <f t="shared" si="6"/>
        <v>44363</v>
      </c>
      <c r="B1141" s="72">
        <v>0.34125</v>
      </c>
      <c r="C1141" s="157">
        <v>95.32</v>
      </c>
    </row>
    <row r="1142" spans="1:3" x14ac:dyDescent="0.25">
      <c r="A1142" s="15">
        <f t="shared" si="6"/>
        <v>44364</v>
      </c>
      <c r="B1142" s="72">
        <v>0.34</v>
      </c>
      <c r="C1142" s="157">
        <v>95.35</v>
      </c>
    </row>
    <row r="1143" spans="1:3" x14ac:dyDescent="0.25">
      <c r="A1143" s="15">
        <f t="shared" si="6"/>
        <v>44365</v>
      </c>
      <c r="B1143" s="72">
        <v>0.34187499999999998</v>
      </c>
      <c r="C1143" s="157">
        <v>95.38</v>
      </c>
    </row>
    <row r="1144" spans="1:3" x14ac:dyDescent="0.25">
      <c r="A1144" s="15">
        <f t="shared" si="6"/>
        <v>44368</v>
      </c>
      <c r="B1144" s="72">
        <v>0.34187499999999998</v>
      </c>
      <c r="C1144" s="157">
        <v>95.38</v>
      </c>
    </row>
    <row r="1145" spans="1:3" x14ac:dyDescent="0.25">
      <c r="A1145" s="15">
        <f t="shared" si="6"/>
        <v>44369</v>
      </c>
      <c r="B1145" s="72">
        <v>0.34125</v>
      </c>
      <c r="C1145" s="157">
        <v>95.5</v>
      </c>
    </row>
    <row r="1146" spans="1:3" x14ac:dyDescent="0.25">
      <c r="A1146" s="15">
        <f t="shared" si="6"/>
        <v>44370</v>
      </c>
      <c r="B1146" s="72">
        <v>0.34187499999999998</v>
      </c>
      <c r="C1146" s="157">
        <v>95.53</v>
      </c>
    </row>
    <row r="1147" spans="1:3" x14ac:dyDescent="0.25">
      <c r="A1147" s="15">
        <f t="shared" si="6"/>
        <v>44371</v>
      </c>
      <c r="B1147" s="72">
        <v>0.34062500000000001</v>
      </c>
      <c r="C1147" s="157">
        <v>95.56</v>
      </c>
    </row>
    <row r="1148" spans="1:3" x14ac:dyDescent="0.25">
      <c r="A1148" s="15">
        <f t="shared" ref="A1148:A1211" si="7">+WORKDAY.INTL(A1147,1,1,)</f>
        <v>44372</v>
      </c>
      <c r="B1148" s="72">
        <v>0.34125</v>
      </c>
      <c r="C1148" s="157">
        <v>95.59</v>
      </c>
    </row>
    <row r="1149" spans="1:3" x14ac:dyDescent="0.25">
      <c r="A1149" s="15">
        <f t="shared" si="7"/>
        <v>44375</v>
      </c>
      <c r="B1149" s="72">
        <v>0.34125</v>
      </c>
      <c r="C1149" s="157">
        <v>95.68</v>
      </c>
    </row>
    <row r="1150" spans="1:3" x14ac:dyDescent="0.25">
      <c r="A1150" s="15">
        <f t="shared" si="7"/>
        <v>44376</v>
      </c>
      <c r="B1150" s="72">
        <v>0.34062500000000001</v>
      </c>
      <c r="C1150" s="157">
        <v>95.71</v>
      </c>
    </row>
    <row r="1151" spans="1:3" x14ac:dyDescent="0.25">
      <c r="A1151" s="15">
        <f t="shared" si="7"/>
        <v>44377</v>
      </c>
      <c r="B1151" s="72">
        <v>0.34125</v>
      </c>
      <c r="C1151" s="157">
        <v>95.73</v>
      </c>
    </row>
    <row r="1152" spans="1:3" x14ac:dyDescent="0.25">
      <c r="A1152" s="15">
        <f t="shared" si="7"/>
        <v>44378</v>
      </c>
      <c r="B1152" s="72">
        <v>0.34125</v>
      </c>
      <c r="C1152" s="157">
        <v>95.77</v>
      </c>
    </row>
    <row r="1153" spans="1:3" x14ac:dyDescent="0.25">
      <c r="A1153" s="15">
        <f t="shared" si="7"/>
        <v>44379</v>
      </c>
      <c r="B1153" s="72">
        <v>0.34187499999999998</v>
      </c>
      <c r="C1153" s="157">
        <v>95.8</v>
      </c>
    </row>
    <row r="1154" spans="1:3" x14ac:dyDescent="0.25">
      <c r="A1154" s="15">
        <f t="shared" si="7"/>
        <v>44382</v>
      </c>
      <c r="B1154" s="72">
        <v>0.34</v>
      </c>
      <c r="C1154" s="157">
        <v>95.89</v>
      </c>
    </row>
    <row r="1155" spans="1:3" x14ac:dyDescent="0.25">
      <c r="A1155" s="15">
        <f t="shared" si="7"/>
        <v>44383</v>
      </c>
      <c r="B1155" s="72">
        <v>0.34187499999999998</v>
      </c>
      <c r="C1155" s="157">
        <v>95.92</v>
      </c>
    </row>
    <row r="1156" spans="1:3" x14ac:dyDescent="0.25">
      <c r="A1156" s="15">
        <f t="shared" si="7"/>
        <v>44384</v>
      </c>
      <c r="B1156" s="72">
        <v>0.34250000000000003</v>
      </c>
      <c r="C1156" s="157">
        <v>95.95</v>
      </c>
    </row>
    <row r="1157" spans="1:3" x14ac:dyDescent="0.25">
      <c r="A1157" s="15">
        <f t="shared" si="7"/>
        <v>44385</v>
      </c>
      <c r="B1157" s="72">
        <v>0.34187499999999998</v>
      </c>
      <c r="C1157" s="157">
        <v>95.98</v>
      </c>
    </row>
    <row r="1158" spans="1:3" x14ac:dyDescent="0.25">
      <c r="A1158" s="15">
        <f t="shared" si="7"/>
        <v>44386</v>
      </c>
      <c r="B1158" s="72">
        <f t="shared" ref="B1158:C1184" si="8">+B1157</f>
        <v>0.34187499999999998</v>
      </c>
      <c r="C1158" s="157">
        <f t="shared" si="8"/>
        <v>95.98</v>
      </c>
    </row>
    <row r="1159" spans="1:3" x14ac:dyDescent="0.25">
      <c r="A1159" s="15">
        <f t="shared" si="7"/>
        <v>44389</v>
      </c>
      <c r="B1159" s="72">
        <v>0.34125</v>
      </c>
      <c r="C1159" s="157">
        <v>96.1</v>
      </c>
    </row>
    <row r="1160" spans="1:3" x14ac:dyDescent="0.25">
      <c r="A1160" s="15">
        <f t="shared" si="7"/>
        <v>44390</v>
      </c>
      <c r="B1160" s="72">
        <v>0.33875</v>
      </c>
      <c r="C1160" s="157">
        <v>96.13</v>
      </c>
    </row>
    <row r="1161" spans="1:3" x14ac:dyDescent="0.25">
      <c r="A1161" s="15">
        <f t="shared" si="7"/>
        <v>44391</v>
      </c>
      <c r="B1161" s="72">
        <v>0.34125</v>
      </c>
      <c r="C1161" s="157">
        <v>96.16</v>
      </c>
    </row>
    <row r="1162" spans="1:3" x14ac:dyDescent="0.25">
      <c r="A1162" s="15">
        <f t="shared" si="7"/>
        <v>44392</v>
      </c>
      <c r="B1162" s="72">
        <v>0.34187499999999998</v>
      </c>
      <c r="C1162" s="157">
        <v>96.19</v>
      </c>
    </row>
    <row r="1163" spans="1:3" x14ac:dyDescent="0.25">
      <c r="A1163" s="15">
        <f t="shared" si="7"/>
        <v>44393</v>
      </c>
      <c r="B1163" s="72">
        <v>0.34062500000000001</v>
      </c>
      <c r="C1163" s="157">
        <v>96.22</v>
      </c>
    </row>
    <row r="1164" spans="1:3" x14ac:dyDescent="0.25">
      <c r="A1164" s="15">
        <f t="shared" si="7"/>
        <v>44396</v>
      </c>
      <c r="B1164" s="72">
        <v>0.34125</v>
      </c>
      <c r="C1164" s="157">
        <v>96.31</v>
      </c>
    </row>
    <row r="1165" spans="1:3" x14ac:dyDescent="0.25">
      <c r="A1165" s="15">
        <f t="shared" si="7"/>
        <v>44397</v>
      </c>
      <c r="B1165" s="72">
        <v>0.34187499999999998</v>
      </c>
      <c r="C1165" s="157">
        <v>96.34</v>
      </c>
    </row>
    <row r="1166" spans="1:3" x14ac:dyDescent="0.25">
      <c r="A1166" s="15">
        <f t="shared" si="7"/>
        <v>44398</v>
      </c>
      <c r="B1166" s="72">
        <v>0.34187499999999998</v>
      </c>
      <c r="C1166" s="157">
        <v>96.37</v>
      </c>
    </row>
    <row r="1167" spans="1:3" x14ac:dyDescent="0.25">
      <c r="A1167" s="15">
        <f t="shared" si="7"/>
        <v>44399</v>
      </c>
      <c r="B1167" s="72">
        <v>0.34062500000000001</v>
      </c>
      <c r="C1167" s="157">
        <v>96.4</v>
      </c>
    </row>
    <row r="1168" spans="1:3" x14ac:dyDescent="0.25">
      <c r="A1168" s="15">
        <f t="shared" si="7"/>
        <v>44400</v>
      </c>
      <c r="B1168" s="72">
        <v>0.34125</v>
      </c>
      <c r="C1168" s="157">
        <v>96.43</v>
      </c>
    </row>
    <row r="1169" spans="1:3" x14ac:dyDescent="0.25">
      <c r="A1169" s="15">
        <f t="shared" si="7"/>
        <v>44403</v>
      </c>
      <c r="B1169" s="72">
        <v>0.34187499999999998</v>
      </c>
      <c r="C1169" s="157">
        <v>96.53</v>
      </c>
    </row>
    <row r="1170" spans="1:3" x14ac:dyDescent="0.25">
      <c r="A1170" s="15">
        <f t="shared" si="7"/>
        <v>44404</v>
      </c>
      <c r="B1170" s="72">
        <v>0.34187499999999998</v>
      </c>
      <c r="C1170" s="157">
        <v>96.58</v>
      </c>
    </row>
    <row r="1171" spans="1:3" x14ac:dyDescent="0.25">
      <c r="A1171" s="15">
        <f t="shared" si="7"/>
        <v>44405</v>
      </c>
      <c r="B1171" s="72">
        <v>0.34125</v>
      </c>
      <c r="C1171" s="157">
        <v>96.64</v>
      </c>
    </row>
    <row r="1172" spans="1:3" x14ac:dyDescent="0.25">
      <c r="A1172" s="15">
        <f t="shared" si="7"/>
        <v>44406</v>
      </c>
      <c r="B1172" s="72">
        <v>0.34125</v>
      </c>
      <c r="C1172" s="157">
        <v>96.67</v>
      </c>
    </row>
    <row r="1173" spans="1:3" x14ac:dyDescent="0.25">
      <c r="A1173" s="15">
        <f t="shared" si="7"/>
        <v>44407</v>
      </c>
      <c r="B1173" s="72">
        <v>0.34125</v>
      </c>
      <c r="C1173" s="157">
        <v>96.69</v>
      </c>
    </row>
    <row r="1174" spans="1:3" x14ac:dyDescent="0.25">
      <c r="A1174" s="15">
        <f t="shared" si="7"/>
        <v>44410</v>
      </c>
      <c r="B1174" s="72">
        <v>0.34187499999999998</v>
      </c>
      <c r="C1174" s="157">
        <v>96.78</v>
      </c>
    </row>
    <row r="1175" spans="1:3" x14ac:dyDescent="0.25">
      <c r="A1175" s="15">
        <f t="shared" si="7"/>
        <v>44411</v>
      </c>
      <c r="B1175" s="72">
        <v>0.34187499999999998</v>
      </c>
      <c r="C1175" s="157">
        <v>96.81</v>
      </c>
    </row>
    <row r="1176" spans="1:3" x14ac:dyDescent="0.25">
      <c r="A1176" s="15">
        <f t="shared" si="7"/>
        <v>44412</v>
      </c>
      <c r="B1176" s="72">
        <v>0.34</v>
      </c>
      <c r="C1176" s="157">
        <v>96.84</v>
      </c>
    </row>
    <row r="1177" spans="1:3" x14ac:dyDescent="0.25">
      <c r="A1177" s="15">
        <f t="shared" si="7"/>
        <v>44413</v>
      </c>
      <c r="B1177" s="72">
        <v>0.34187499999999998</v>
      </c>
      <c r="C1177" s="157">
        <v>96.88</v>
      </c>
    </row>
    <row r="1178" spans="1:3" x14ac:dyDescent="0.25">
      <c r="A1178" s="15">
        <f t="shared" si="7"/>
        <v>44414</v>
      </c>
      <c r="B1178" s="72">
        <v>0.34250000000000003</v>
      </c>
      <c r="C1178" s="157">
        <v>96.91</v>
      </c>
    </row>
    <row r="1179" spans="1:3" x14ac:dyDescent="0.25">
      <c r="A1179" s="15">
        <f t="shared" si="7"/>
        <v>44417</v>
      </c>
      <c r="B1179" s="72">
        <v>0.34250000000000003</v>
      </c>
      <c r="C1179" s="157">
        <v>97</v>
      </c>
    </row>
    <row r="1180" spans="1:3" x14ac:dyDescent="0.25">
      <c r="A1180" s="15">
        <f t="shared" si="7"/>
        <v>44418</v>
      </c>
      <c r="B1180" s="72">
        <v>0.34187499999999998</v>
      </c>
      <c r="C1180" s="157">
        <v>97.03</v>
      </c>
    </row>
    <row r="1181" spans="1:3" x14ac:dyDescent="0.25">
      <c r="A1181" s="15">
        <f t="shared" si="7"/>
        <v>44419</v>
      </c>
      <c r="B1181" s="72">
        <v>0.34062500000000001</v>
      </c>
      <c r="C1181" s="157">
        <v>97.05</v>
      </c>
    </row>
    <row r="1182" spans="1:3" x14ac:dyDescent="0.25">
      <c r="A1182" s="15">
        <f t="shared" si="7"/>
        <v>44420</v>
      </c>
      <c r="B1182" s="72">
        <v>0.34187499999999998</v>
      </c>
      <c r="C1182" s="157">
        <v>97.08</v>
      </c>
    </row>
    <row r="1183" spans="1:3" x14ac:dyDescent="0.25">
      <c r="A1183" s="15">
        <f t="shared" si="7"/>
        <v>44421</v>
      </c>
      <c r="B1183" s="72">
        <v>0.34125</v>
      </c>
      <c r="C1183" s="157">
        <v>97.11</v>
      </c>
    </row>
    <row r="1184" spans="1:3" x14ac:dyDescent="0.25">
      <c r="A1184" s="15">
        <f t="shared" si="7"/>
        <v>44424</v>
      </c>
      <c r="B1184" s="72">
        <f t="shared" si="8"/>
        <v>0.34125</v>
      </c>
      <c r="C1184" s="157">
        <f t="shared" si="8"/>
        <v>97.11</v>
      </c>
    </row>
    <row r="1185" spans="1:3" x14ac:dyDescent="0.25">
      <c r="A1185" s="15">
        <f t="shared" si="7"/>
        <v>44425</v>
      </c>
      <c r="B1185" s="72">
        <v>0.34250000000000003</v>
      </c>
      <c r="C1185" s="157">
        <v>97.23</v>
      </c>
    </row>
    <row r="1186" spans="1:3" x14ac:dyDescent="0.25">
      <c r="A1186" s="15">
        <f t="shared" si="7"/>
        <v>44426</v>
      </c>
      <c r="B1186" s="72">
        <v>0.34062500000000001</v>
      </c>
      <c r="C1186" s="157">
        <v>97.27</v>
      </c>
    </row>
    <row r="1187" spans="1:3" x14ac:dyDescent="0.25">
      <c r="A1187" s="15">
        <f t="shared" si="7"/>
        <v>44427</v>
      </c>
      <c r="B1187" s="72">
        <v>0.34187499999999998</v>
      </c>
      <c r="C1187" s="157">
        <v>97.29</v>
      </c>
    </row>
    <row r="1188" spans="1:3" x14ac:dyDescent="0.25">
      <c r="A1188" s="15">
        <f t="shared" si="7"/>
        <v>44428</v>
      </c>
      <c r="B1188" s="72">
        <v>0.34062500000000001</v>
      </c>
      <c r="C1188" s="157">
        <v>97.32</v>
      </c>
    </row>
    <row r="1189" spans="1:3" x14ac:dyDescent="0.25">
      <c r="A1189" s="15">
        <f t="shared" si="7"/>
        <v>44431</v>
      </c>
      <c r="B1189" s="72">
        <v>0.34187499999999998</v>
      </c>
      <c r="C1189" s="157">
        <v>97.41</v>
      </c>
    </row>
    <row r="1190" spans="1:3" x14ac:dyDescent="0.25">
      <c r="A1190" s="15">
        <f t="shared" si="7"/>
        <v>44432</v>
      </c>
      <c r="B1190" s="72">
        <v>0.34125</v>
      </c>
      <c r="C1190" s="157">
        <v>97.44</v>
      </c>
    </row>
    <row r="1191" spans="1:3" x14ac:dyDescent="0.25">
      <c r="A1191" s="15">
        <f t="shared" si="7"/>
        <v>44433</v>
      </c>
      <c r="B1191" s="72">
        <v>0.34187499999999998</v>
      </c>
      <c r="C1191" s="157">
        <v>97.48</v>
      </c>
    </row>
    <row r="1192" spans="1:3" x14ac:dyDescent="0.25">
      <c r="A1192" s="15">
        <f t="shared" si="7"/>
        <v>44434</v>
      </c>
      <c r="B1192" s="72">
        <v>0.34125</v>
      </c>
      <c r="C1192" s="157">
        <v>97.55</v>
      </c>
    </row>
    <row r="1193" spans="1:3" x14ac:dyDescent="0.25">
      <c r="A1193" s="15">
        <f t="shared" si="7"/>
        <v>44435</v>
      </c>
      <c r="B1193" s="72">
        <v>0.34125</v>
      </c>
      <c r="C1193" s="157">
        <v>97.57</v>
      </c>
    </row>
    <row r="1194" spans="1:3" x14ac:dyDescent="0.25">
      <c r="A1194" s="15">
        <f t="shared" si="7"/>
        <v>44438</v>
      </c>
      <c r="B1194" s="72">
        <v>0.34187499999999998</v>
      </c>
      <c r="C1194" s="157">
        <v>97.72</v>
      </c>
    </row>
    <row r="1195" spans="1:3" x14ac:dyDescent="0.25">
      <c r="A1195" s="15">
        <f t="shared" si="7"/>
        <v>44439</v>
      </c>
      <c r="B1195" s="72">
        <v>0.34187499999999998</v>
      </c>
      <c r="C1195" s="157">
        <v>97.75</v>
      </c>
    </row>
    <row r="1196" spans="1:3" x14ac:dyDescent="0.25">
      <c r="A1196" s="15">
        <f t="shared" si="7"/>
        <v>44440</v>
      </c>
      <c r="B1196" s="72">
        <v>0.34187499999999998</v>
      </c>
      <c r="C1196" s="157">
        <v>97.78</v>
      </c>
    </row>
    <row r="1197" spans="1:3" x14ac:dyDescent="0.25">
      <c r="A1197" s="15">
        <f t="shared" si="7"/>
        <v>44441</v>
      </c>
      <c r="B1197" s="72">
        <v>0.34125</v>
      </c>
      <c r="C1197" s="157">
        <v>97.83</v>
      </c>
    </row>
    <row r="1198" spans="1:3" x14ac:dyDescent="0.25">
      <c r="A1198" s="15">
        <f t="shared" si="7"/>
        <v>44442</v>
      </c>
      <c r="B1198" s="72">
        <v>0.34125</v>
      </c>
      <c r="C1198" s="157">
        <v>97.87</v>
      </c>
    </row>
    <row r="1199" spans="1:3" x14ac:dyDescent="0.25">
      <c r="A1199" s="15">
        <f t="shared" si="7"/>
        <v>44445</v>
      </c>
      <c r="B1199" s="72">
        <v>0.34312500000000001</v>
      </c>
      <c r="C1199" s="157">
        <v>97.95</v>
      </c>
    </row>
    <row r="1200" spans="1:3" x14ac:dyDescent="0.25">
      <c r="A1200" s="15">
        <f t="shared" si="7"/>
        <v>44446</v>
      </c>
      <c r="B1200" s="72">
        <v>0.34187499999999998</v>
      </c>
      <c r="C1200" s="157">
        <v>97.99</v>
      </c>
    </row>
    <row r="1201" spans="1:6" x14ac:dyDescent="0.25">
      <c r="A1201" s="15">
        <f t="shared" si="7"/>
        <v>44447</v>
      </c>
      <c r="B1201" s="72">
        <v>0.34250000000000003</v>
      </c>
      <c r="C1201" s="157">
        <v>98.02</v>
      </c>
    </row>
    <row r="1202" spans="1:6" x14ac:dyDescent="0.25">
      <c r="A1202" s="15">
        <f t="shared" si="7"/>
        <v>44448</v>
      </c>
      <c r="B1202" s="72">
        <v>0.34187499999999998</v>
      </c>
      <c r="C1202" s="157">
        <v>98.05</v>
      </c>
    </row>
    <row r="1203" spans="1:6" x14ac:dyDescent="0.25">
      <c r="A1203" s="15">
        <f t="shared" si="7"/>
        <v>44449</v>
      </c>
      <c r="B1203" s="72">
        <v>0.34062500000000001</v>
      </c>
      <c r="C1203" s="157">
        <v>98.1</v>
      </c>
    </row>
    <row r="1204" spans="1:6" x14ac:dyDescent="0.25">
      <c r="A1204" s="15">
        <f t="shared" si="7"/>
        <v>44452</v>
      </c>
      <c r="B1204" s="72">
        <v>0.34187499999999998</v>
      </c>
      <c r="C1204" s="157">
        <v>98.21</v>
      </c>
    </row>
    <row r="1205" spans="1:6" x14ac:dyDescent="0.25">
      <c r="A1205" s="15">
        <f t="shared" si="7"/>
        <v>44453</v>
      </c>
      <c r="B1205" s="72">
        <v>0.33937499999999998</v>
      </c>
      <c r="C1205" s="157">
        <v>98.22</v>
      </c>
    </row>
    <row r="1206" spans="1:6" x14ac:dyDescent="0.25">
      <c r="A1206" s="15">
        <f t="shared" si="7"/>
        <v>44454</v>
      </c>
      <c r="B1206" s="72">
        <v>0.34062500000000001</v>
      </c>
      <c r="C1206" s="157">
        <v>98.25</v>
      </c>
    </row>
    <row r="1207" spans="1:6" x14ac:dyDescent="0.25">
      <c r="A1207" s="15">
        <f t="shared" si="7"/>
        <v>44455</v>
      </c>
      <c r="B1207" s="72">
        <v>0.34250000000000003</v>
      </c>
      <c r="C1207" s="157">
        <v>98.31</v>
      </c>
    </row>
    <row r="1208" spans="1:6" x14ac:dyDescent="0.25">
      <c r="A1208" s="15">
        <f t="shared" si="7"/>
        <v>44456</v>
      </c>
      <c r="B1208" s="72">
        <v>0.34125</v>
      </c>
      <c r="C1208" s="157">
        <v>98.35</v>
      </c>
    </row>
    <row r="1209" spans="1:6" x14ac:dyDescent="0.25">
      <c r="A1209" s="15">
        <f t="shared" si="7"/>
        <v>44459</v>
      </c>
      <c r="B1209" s="72">
        <v>0.34187499999999998</v>
      </c>
      <c r="C1209" s="157">
        <v>98.48</v>
      </c>
    </row>
    <row r="1210" spans="1:6" x14ac:dyDescent="0.25">
      <c r="A1210" s="15">
        <f t="shared" si="7"/>
        <v>44460</v>
      </c>
      <c r="B1210" s="72">
        <v>0.34125</v>
      </c>
      <c r="C1210" s="157">
        <v>98.49</v>
      </c>
    </row>
    <row r="1211" spans="1:6" x14ac:dyDescent="0.25">
      <c r="A1211" s="15">
        <f t="shared" si="7"/>
        <v>44461</v>
      </c>
      <c r="B1211" s="72">
        <v>0.34187499999999998</v>
      </c>
      <c r="C1211" s="157">
        <v>98.51</v>
      </c>
    </row>
    <row r="1212" spans="1:6" x14ac:dyDescent="0.25">
      <c r="A1212" s="15">
        <f t="shared" ref="A1212:A1275" si="9">+WORKDAY.INTL(A1211,1,1,)</f>
        <v>44462</v>
      </c>
      <c r="B1212" s="72">
        <v>0.34250000000000003</v>
      </c>
      <c r="C1212" s="157">
        <v>98.52</v>
      </c>
    </row>
    <row r="1213" spans="1:6" x14ac:dyDescent="0.25">
      <c r="A1213" s="15">
        <f t="shared" si="9"/>
        <v>44463</v>
      </c>
      <c r="B1213" s="72">
        <v>0.34125</v>
      </c>
      <c r="C1213" s="157">
        <v>98.56</v>
      </c>
    </row>
    <row r="1214" spans="1:6" x14ac:dyDescent="0.25">
      <c r="A1214" s="15">
        <f t="shared" si="9"/>
        <v>44466</v>
      </c>
      <c r="B1214" s="72">
        <v>0.34125</v>
      </c>
      <c r="C1214" s="157">
        <v>98.67</v>
      </c>
    </row>
    <row r="1215" spans="1:6" ht="15.75" thickBot="1" x14ac:dyDescent="0.3">
      <c r="A1215" s="15">
        <f t="shared" si="9"/>
        <v>44467</v>
      </c>
      <c r="B1215" s="72">
        <v>0.34125</v>
      </c>
      <c r="C1215" s="157">
        <v>98.68</v>
      </c>
    </row>
    <row r="1216" spans="1:6" ht="15.75" thickBot="1" x14ac:dyDescent="0.3">
      <c r="A1216" s="15">
        <f t="shared" si="9"/>
        <v>44468</v>
      </c>
      <c r="B1216" s="72">
        <v>0.34187499999999998</v>
      </c>
      <c r="C1216" s="157">
        <v>98.71</v>
      </c>
      <c r="D1216" s="385"/>
      <c r="E1216" s="385"/>
      <c r="F1216" s="386"/>
    </row>
    <row r="1217" spans="1:6" ht="15.75" thickBot="1" x14ac:dyDescent="0.3">
      <c r="A1217" s="15">
        <f t="shared" si="9"/>
        <v>44469</v>
      </c>
      <c r="B1217" s="72">
        <v>0.34187499999999998</v>
      </c>
      <c r="C1217" s="157">
        <v>98.74</v>
      </c>
      <c r="D1217" s="385"/>
      <c r="E1217" s="385"/>
      <c r="F1217" s="386"/>
    </row>
    <row r="1218" spans="1:6" ht="15.75" thickBot="1" x14ac:dyDescent="0.3">
      <c r="A1218" s="15">
        <f t="shared" si="9"/>
        <v>44470</v>
      </c>
      <c r="B1218" s="72">
        <v>0.34187499999999998</v>
      </c>
      <c r="C1218" s="157">
        <v>98.78</v>
      </c>
      <c r="E1218" s="385"/>
      <c r="F1218" s="386"/>
    </row>
    <row r="1219" spans="1:6" ht="15.75" thickBot="1" x14ac:dyDescent="0.3">
      <c r="A1219" s="15">
        <f t="shared" si="9"/>
        <v>44473</v>
      </c>
      <c r="B1219" s="72">
        <v>0.34125</v>
      </c>
      <c r="C1219" s="157">
        <v>98.89</v>
      </c>
      <c r="E1219" s="385"/>
      <c r="F1219" s="386"/>
    </row>
    <row r="1220" spans="1:6" ht="15.75" thickBot="1" x14ac:dyDescent="0.3">
      <c r="A1220" s="15">
        <f t="shared" si="9"/>
        <v>44474</v>
      </c>
      <c r="B1220" s="72">
        <v>0.34062500000000001</v>
      </c>
      <c r="C1220" s="157">
        <v>98.9</v>
      </c>
      <c r="E1220" s="385"/>
      <c r="F1220" s="386"/>
    </row>
    <row r="1221" spans="1:6" ht="15.75" thickBot="1" x14ac:dyDescent="0.3">
      <c r="A1221" s="15">
        <f t="shared" si="9"/>
        <v>44475</v>
      </c>
      <c r="B1221" s="72">
        <v>0.34250000000000003</v>
      </c>
      <c r="C1221" s="157">
        <v>98.92</v>
      </c>
      <c r="E1221" s="385"/>
      <c r="F1221" s="386"/>
    </row>
    <row r="1222" spans="1:6" ht="15.75" thickBot="1" x14ac:dyDescent="0.3">
      <c r="A1222" s="15">
        <f t="shared" si="9"/>
        <v>44476</v>
      </c>
      <c r="B1222" s="72">
        <v>0.34125</v>
      </c>
      <c r="C1222" s="157">
        <v>98.95</v>
      </c>
      <c r="E1222" s="385"/>
      <c r="F1222" s="386"/>
    </row>
    <row r="1223" spans="1:6" ht="15.75" thickBot="1" x14ac:dyDescent="0.3">
      <c r="A1223" s="15">
        <f t="shared" si="9"/>
        <v>44477</v>
      </c>
      <c r="B1223" s="72">
        <f t="shared" ref="B1223:B1266" si="10">+B1222</f>
        <v>0.34125</v>
      </c>
      <c r="C1223" s="157">
        <v>98.95</v>
      </c>
      <c r="E1223" s="385"/>
      <c r="F1223" s="386"/>
    </row>
    <row r="1224" spans="1:6" ht="15.75" thickBot="1" x14ac:dyDescent="0.3">
      <c r="A1224" s="15">
        <f t="shared" si="9"/>
        <v>44480</v>
      </c>
      <c r="B1224" s="72">
        <f t="shared" si="10"/>
        <v>0.34125</v>
      </c>
      <c r="C1224" s="157">
        <v>98.95</v>
      </c>
      <c r="E1224" s="385"/>
      <c r="F1224" s="386"/>
    </row>
    <row r="1225" spans="1:6" ht="15.75" thickBot="1" x14ac:dyDescent="0.3">
      <c r="A1225" s="15">
        <f t="shared" si="9"/>
        <v>44481</v>
      </c>
      <c r="B1225" s="72">
        <v>0.34125</v>
      </c>
      <c r="C1225" s="157">
        <v>99.1</v>
      </c>
      <c r="E1225" s="385"/>
      <c r="F1225" s="386"/>
    </row>
    <row r="1226" spans="1:6" ht="15.75" thickBot="1" x14ac:dyDescent="0.3">
      <c r="A1226" s="15">
        <f t="shared" si="9"/>
        <v>44482</v>
      </c>
      <c r="B1226" s="72">
        <v>0.34187499999999998</v>
      </c>
      <c r="C1226" s="157">
        <v>99.13</v>
      </c>
      <c r="E1226" s="385"/>
      <c r="F1226" s="386"/>
    </row>
    <row r="1227" spans="1:6" ht="15.75" thickBot="1" x14ac:dyDescent="0.3">
      <c r="A1227" s="15">
        <f t="shared" si="9"/>
        <v>44483</v>
      </c>
      <c r="B1227" s="72">
        <v>0.34062500000000001</v>
      </c>
      <c r="C1227" s="157">
        <v>99.16</v>
      </c>
      <c r="E1227" s="385"/>
      <c r="F1227" s="386"/>
    </row>
    <row r="1228" spans="1:6" ht="15.75" thickBot="1" x14ac:dyDescent="0.3">
      <c r="A1228" s="15">
        <f t="shared" si="9"/>
        <v>44484</v>
      </c>
      <c r="B1228" s="72">
        <v>0.34062500000000001</v>
      </c>
      <c r="C1228" s="157">
        <v>99.19</v>
      </c>
      <c r="E1228" s="385"/>
      <c r="F1228" s="386"/>
    </row>
    <row r="1229" spans="1:6" ht="15.75" thickBot="1" x14ac:dyDescent="0.3">
      <c r="A1229" s="15">
        <f t="shared" si="9"/>
        <v>44487</v>
      </c>
      <c r="B1229" s="72">
        <v>0.34187499999999998</v>
      </c>
      <c r="C1229" s="157">
        <v>99.28</v>
      </c>
      <c r="E1229" s="385"/>
      <c r="F1229" s="386"/>
    </row>
    <row r="1230" spans="1:6" ht="15.75" thickBot="1" x14ac:dyDescent="0.3">
      <c r="A1230" s="15">
        <f t="shared" si="9"/>
        <v>44488</v>
      </c>
      <c r="B1230" s="72">
        <v>0.34125</v>
      </c>
      <c r="C1230" s="157">
        <v>99.31</v>
      </c>
      <c r="E1230" s="385"/>
      <c r="F1230" s="386"/>
    </row>
    <row r="1231" spans="1:6" ht="15.75" thickBot="1" x14ac:dyDescent="0.3">
      <c r="A1231" s="15">
        <f t="shared" si="9"/>
        <v>44489</v>
      </c>
      <c r="B1231" s="72">
        <v>0.34125</v>
      </c>
      <c r="C1231" s="157">
        <v>99.34</v>
      </c>
      <c r="E1231" s="385"/>
      <c r="F1231" s="386"/>
    </row>
    <row r="1232" spans="1:6" ht="15.75" thickBot="1" x14ac:dyDescent="0.3">
      <c r="A1232" s="15">
        <f t="shared" si="9"/>
        <v>44490</v>
      </c>
      <c r="B1232" s="72">
        <v>0.34187499999999998</v>
      </c>
      <c r="C1232" s="157">
        <v>99.37</v>
      </c>
      <c r="E1232" s="385"/>
      <c r="F1232" s="386"/>
    </row>
    <row r="1233" spans="1:6" ht="15.75" thickBot="1" x14ac:dyDescent="0.3">
      <c r="A1233" s="15">
        <f t="shared" si="9"/>
        <v>44491</v>
      </c>
      <c r="B1233" s="72">
        <v>0.34250000000000003</v>
      </c>
      <c r="C1233" s="157">
        <v>99.4</v>
      </c>
      <c r="E1233" s="385"/>
      <c r="F1233" s="386"/>
    </row>
    <row r="1234" spans="1:6" ht="15.75" thickBot="1" x14ac:dyDescent="0.3">
      <c r="A1234" s="15">
        <f t="shared" si="9"/>
        <v>44494</v>
      </c>
      <c r="B1234" s="72">
        <v>0.34125</v>
      </c>
      <c r="C1234" s="157">
        <v>99.49</v>
      </c>
      <c r="E1234" s="385"/>
      <c r="F1234" s="386"/>
    </row>
    <row r="1235" spans="1:6" ht="15.75" thickBot="1" x14ac:dyDescent="0.3">
      <c r="A1235" s="15">
        <f t="shared" si="9"/>
        <v>44495</v>
      </c>
      <c r="B1235" s="72">
        <v>0.34125</v>
      </c>
      <c r="C1235" s="157">
        <v>99.53</v>
      </c>
      <c r="E1235" s="385"/>
      <c r="F1235" s="386"/>
    </row>
    <row r="1236" spans="1:6" ht="15.75" thickBot="1" x14ac:dyDescent="0.3">
      <c r="A1236" s="15">
        <f t="shared" si="9"/>
        <v>44496</v>
      </c>
      <c r="B1236" s="72">
        <v>0.34125</v>
      </c>
      <c r="C1236" s="157">
        <v>99.62</v>
      </c>
      <c r="E1236" s="385"/>
      <c r="F1236" s="386"/>
    </row>
    <row r="1237" spans="1:6" ht="15.75" thickBot="1" x14ac:dyDescent="0.3">
      <c r="A1237" s="15">
        <f t="shared" si="9"/>
        <v>44497</v>
      </c>
      <c r="B1237" s="72">
        <v>0.34125</v>
      </c>
      <c r="C1237" s="157">
        <v>99.69</v>
      </c>
      <c r="E1237" s="385"/>
      <c r="F1237" s="386"/>
    </row>
    <row r="1238" spans="1:6" ht="15.75" thickBot="1" x14ac:dyDescent="0.3">
      <c r="A1238" s="15">
        <f t="shared" si="9"/>
        <v>44498</v>
      </c>
      <c r="B1238" s="72">
        <v>0.34125</v>
      </c>
      <c r="C1238" s="157">
        <v>99.72</v>
      </c>
      <c r="E1238" s="385"/>
      <c r="F1238" s="386"/>
    </row>
    <row r="1239" spans="1:6" ht="15.75" thickBot="1" x14ac:dyDescent="0.3">
      <c r="A1239" s="15">
        <f t="shared" si="9"/>
        <v>44501</v>
      </c>
      <c r="B1239" s="72">
        <v>0.34250000000000003</v>
      </c>
      <c r="C1239" s="157">
        <v>99.83</v>
      </c>
      <c r="E1239" s="385"/>
      <c r="F1239" s="386"/>
    </row>
    <row r="1240" spans="1:6" ht="15.75" thickBot="1" x14ac:dyDescent="0.3">
      <c r="A1240" s="15">
        <f t="shared" si="9"/>
        <v>44502</v>
      </c>
      <c r="B1240" s="72">
        <v>0.34125</v>
      </c>
      <c r="C1240" s="157">
        <v>99.85</v>
      </c>
      <c r="E1240" s="385"/>
      <c r="F1240" s="386"/>
    </row>
    <row r="1241" spans="1:6" ht="15.75" thickBot="1" x14ac:dyDescent="0.3">
      <c r="A1241" s="15">
        <f t="shared" si="9"/>
        <v>44503</v>
      </c>
      <c r="B1241" s="72">
        <v>0.34125</v>
      </c>
      <c r="C1241" s="157">
        <v>99.9</v>
      </c>
      <c r="E1241" s="385"/>
      <c r="F1241" s="386"/>
    </row>
    <row r="1242" spans="1:6" ht="15.75" thickBot="1" x14ac:dyDescent="0.3">
      <c r="A1242" s="15">
        <f t="shared" si="9"/>
        <v>44504</v>
      </c>
      <c r="B1242" s="72">
        <v>0.34187499999999998</v>
      </c>
      <c r="C1242" s="157">
        <v>99.95</v>
      </c>
      <c r="E1242" s="385"/>
      <c r="F1242" s="386"/>
    </row>
    <row r="1243" spans="1:6" ht="15.75" thickBot="1" x14ac:dyDescent="0.3">
      <c r="A1243" s="15">
        <f t="shared" si="9"/>
        <v>44505</v>
      </c>
      <c r="B1243" s="72">
        <v>0.34250000000000003</v>
      </c>
      <c r="C1243" s="157">
        <v>99.95</v>
      </c>
      <c r="E1243" s="385"/>
      <c r="F1243" s="386"/>
    </row>
    <row r="1244" spans="1:6" ht="15.75" thickBot="1" x14ac:dyDescent="0.3">
      <c r="A1244" s="15">
        <f t="shared" si="9"/>
        <v>44508</v>
      </c>
      <c r="B1244" s="72">
        <v>0.34250000000000003</v>
      </c>
      <c r="C1244" s="157">
        <v>100.05</v>
      </c>
      <c r="E1244" s="385"/>
      <c r="F1244" s="386"/>
    </row>
    <row r="1245" spans="1:6" ht="15.75" thickBot="1" x14ac:dyDescent="0.3">
      <c r="A1245" s="15">
        <f t="shared" si="9"/>
        <v>44509</v>
      </c>
      <c r="B1245" s="72">
        <v>0.34187499999999998</v>
      </c>
      <c r="C1245" s="157">
        <v>100.1</v>
      </c>
      <c r="E1245" s="385"/>
      <c r="F1245" s="386"/>
    </row>
    <row r="1246" spans="1:6" ht="15.75" thickBot="1" x14ac:dyDescent="0.3">
      <c r="A1246" s="15">
        <f t="shared" si="9"/>
        <v>44510</v>
      </c>
      <c r="B1246" s="72">
        <v>0.34187499999999998</v>
      </c>
      <c r="C1246" s="157">
        <v>100.14</v>
      </c>
      <c r="E1246" s="385"/>
      <c r="F1246" s="386"/>
    </row>
    <row r="1247" spans="1:6" ht="15.75" thickBot="1" x14ac:dyDescent="0.3">
      <c r="A1247" s="15">
        <f t="shared" si="9"/>
        <v>44511</v>
      </c>
      <c r="B1247" s="72">
        <v>0.34</v>
      </c>
      <c r="C1247" s="157">
        <v>100.18</v>
      </c>
      <c r="E1247" s="385"/>
      <c r="F1247" s="386"/>
    </row>
    <row r="1248" spans="1:6" ht="15.75" thickBot="1" x14ac:dyDescent="0.3">
      <c r="A1248" s="15">
        <f t="shared" si="9"/>
        <v>44512</v>
      </c>
      <c r="B1248" s="72">
        <v>0.34125</v>
      </c>
      <c r="C1248" s="157">
        <v>100.23</v>
      </c>
      <c r="E1248" s="385"/>
      <c r="F1248" s="386"/>
    </row>
    <row r="1249" spans="1:6" ht="15.75" thickBot="1" x14ac:dyDescent="0.3">
      <c r="A1249" s="15">
        <f t="shared" si="9"/>
        <v>44515</v>
      </c>
      <c r="B1249" s="72">
        <v>0.34125</v>
      </c>
      <c r="C1249" s="157">
        <v>100.29</v>
      </c>
      <c r="E1249" s="385"/>
      <c r="F1249" s="386"/>
    </row>
    <row r="1250" spans="1:6" ht="15.75" thickBot="1" x14ac:dyDescent="0.3">
      <c r="A1250" s="15">
        <f t="shared" si="9"/>
        <v>44516</v>
      </c>
      <c r="B1250" s="72">
        <v>0.34250000000000003</v>
      </c>
      <c r="C1250" s="157">
        <v>100.31</v>
      </c>
      <c r="E1250" s="385"/>
      <c r="F1250" s="386"/>
    </row>
    <row r="1251" spans="1:6" ht="15.75" thickBot="1" x14ac:dyDescent="0.3">
      <c r="A1251" s="15">
        <f t="shared" si="9"/>
        <v>44517</v>
      </c>
      <c r="B1251" s="72">
        <v>0.34187499999999998</v>
      </c>
      <c r="C1251" s="157">
        <v>100.36</v>
      </c>
      <c r="E1251" s="385"/>
      <c r="F1251" s="386"/>
    </row>
    <row r="1252" spans="1:6" ht="15.75" thickBot="1" x14ac:dyDescent="0.3">
      <c r="A1252" s="15">
        <f t="shared" si="9"/>
        <v>44518</v>
      </c>
      <c r="B1252" s="72">
        <v>0.34250000000000003</v>
      </c>
      <c r="C1252" s="157">
        <v>100.41</v>
      </c>
      <c r="E1252" s="385"/>
      <c r="F1252" s="386"/>
    </row>
    <row r="1253" spans="1:6" ht="15.75" thickBot="1" x14ac:dyDescent="0.3">
      <c r="A1253" s="15">
        <f t="shared" si="9"/>
        <v>44519</v>
      </c>
      <c r="B1253" s="72">
        <v>0.34187499999999998</v>
      </c>
      <c r="C1253" s="157">
        <v>100.47</v>
      </c>
      <c r="E1253" s="385"/>
      <c r="F1253" s="386"/>
    </row>
    <row r="1254" spans="1:6" ht="15.75" thickBot="1" x14ac:dyDescent="0.3">
      <c r="A1254" s="15">
        <f t="shared" si="9"/>
        <v>44522</v>
      </c>
      <c r="B1254" s="72">
        <f t="shared" si="10"/>
        <v>0.34187499999999998</v>
      </c>
      <c r="C1254" s="157">
        <v>100.47</v>
      </c>
      <c r="E1254" s="385"/>
      <c r="F1254" s="386"/>
    </row>
    <row r="1255" spans="1:6" ht="15.75" thickBot="1" x14ac:dyDescent="0.3">
      <c r="A1255" s="15">
        <f t="shared" si="9"/>
        <v>44523</v>
      </c>
      <c r="B1255" s="72">
        <v>0.34187499999999998</v>
      </c>
      <c r="C1255" s="157">
        <v>100.6</v>
      </c>
      <c r="E1255" s="385"/>
      <c r="F1255" s="386"/>
    </row>
    <row r="1256" spans="1:6" ht="15.75" thickBot="1" x14ac:dyDescent="0.3">
      <c r="A1256" s="15">
        <f t="shared" si="9"/>
        <v>44524</v>
      </c>
      <c r="B1256" s="72">
        <v>0.34187499999999998</v>
      </c>
      <c r="C1256" s="157">
        <v>100.62</v>
      </c>
      <c r="E1256" s="385"/>
      <c r="F1256" s="386"/>
    </row>
    <row r="1257" spans="1:6" ht="15.75" thickBot="1" x14ac:dyDescent="0.3">
      <c r="A1257" s="15">
        <f t="shared" si="9"/>
        <v>44525</v>
      </c>
      <c r="B1257" s="72">
        <v>0.34125</v>
      </c>
      <c r="C1257" s="157">
        <v>100.68</v>
      </c>
      <c r="E1257" s="385"/>
      <c r="F1257" s="386"/>
    </row>
    <row r="1258" spans="1:6" ht="15.75" thickBot="1" x14ac:dyDescent="0.3">
      <c r="A1258" s="15">
        <f t="shared" si="9"/>
        <v>44526</v>
      </c>
      <c r="B1258" s="72">
        <v>0.34125</v>
      </c>
      <c r="C1258" s="157">
        <v>100.76</v>
      </c>
      <c r="E1258" s="385"/>
      <c r="F1258" s="386"/>
    </row>
    <row r="1259" spans="1:6" ht="15.75" thickBot="1" x14ac:dyDescent="0.3">
      <c r="A1259" s="15">
        <f t="shared" si="9"/>
        <v>44529</v>
      </c>
      <c r="B1259" s="72">
        <v>0.34250000000000003</v>
      </c>
      <c r="C1259" s="157">
        <v>100.92</v>
      </c>
      <c r="E1259" s="385"/>
      <c r="F1259" s="386"/>
    </row>
    <row r="1260" spans="1:6" ht="15.75" thickBot="1" x14ac:dyDescent="0.3">
      <c r="A1260" s="15">
        <f t="shared" si="9"/>
        <v>44530</v>
      </c>
      <c r="B1260" s="72">
        <v>0.34125</v>
      </c>
      <c r="C1260" s="157">
        <v>100.93</v>
      </c>
      <c r="E1260" s="385"/>
      <c r="F1260" s="386"/>
    </row>
    <row r="1261" spans="1:6" ht="15.75" thickBot="1" x14ac:dyDescent="0.3">
      <c r="A1261" s="15">
        <f t="shared" si="9"/>
        <v>44531</v>
      </c>
      <c r="B1261" s="72">
        <v>0.34187499999999998</v>
      </c>
      <c r="C1261" s="157">
        <v>101.01</v>
      </c>
      <c r="E1261" s="385"/>
      <c r="F1261" s="386"/>
    </row>
    <row r="1262" spans="1:6" ht="15.75" thickBot="1" x14ac:dyDescent="0.3">
      <c r="A1262" s="15">
        <f t="shared" si="9"/>
        <v>44532</v>
      </c>
      <c r="B1262" s="72">
        <v>0.34062500000000001</v>
      </c>
      <c r="C1262" s="157">
        <v>101.07</v>
      </c>
      <c r="E1262" s="385"/>
      <c r="F1262" s="386"/>
    </row>
    <row r="1263" spans="1:6" ht="15.75" thickBot="1" x14ac:dyDescent="0.3">
      <c r="A1263" s="15">
        <f t="shared" si="9"/>
        <v>44533</v>
      </c>
      <c r="B1263" s="72">
        <v>0.34125</v>
      </c>
      <c r="C1263" s="157">
        <v>101.16</v>
      </c>
      <c r="E1263" s="385"/>
      <c r="F1263" s="386"/>
    </row>
    <row r="1264" spans="1:6" ht="15.75" thickBot="1" x14ac:dyDescent="0.3">
      <c r="A1264" s="15">
        <f t="shared" si="9"/>
        <v>44536</v>
      </c>
      <c r="B1264" s="72">
        <v>0.34250000000000003</v>
      </c>
      <c r="C1264" s="157">
        <v>101.32</v>
      </c>
      <c r="E1264" s="385"/>
      <c r="F1264" s="386"/>
    </row>
    <row r="1265" spans="1:6" ht="15.75" thickBot="1" x14ac:dyDescent="0.3">
      <c r="A1265" s="15">
        <f t="shared" si="9"/>
        <v>44537</v>
      </c>
      <c r="B1265" s="72">
        <v>0.34125</v>
      </c>
      <c r="C1265" s="157">
        <v>101.37</v>
      </c>
      <c r="E1265" s="385"/>
      <c r="F1265" s="386"/>
    </row>
    <row r="1266" spans="1:6" ht="15.75" thickBot="1" x14ac:dyDescent="0.3">
      <c r="A1266" s="15">
        <f t="shared" si="9"/>
        <v>44538</v>
      </c>
      <c r="B1266" s="72">
        <f t="shared" si="10"/>
        <v>0.34125</v>
      </c>
      <c r="C1266" s="157">
        <v>101.37</v>
      </c>
      <c r="E1266" s="385"/>
      <c r="F1266" s="386"/>
    </row>
    <row r="1267" spans="1:6" ht="15.75" thickBot="1" x14ac:dyDescent="0.3">
      <c r="A1267" s="15">
        <f t="shared" si="9"/>
        <v>44539</v>
      </c>
      <c r="B1267" s="72">
        <v>0.34250000000000003</v>
      </c>
      <c r="C1267" s="157">
        <v>101.51</v>
      </c>
      <c r="E1267" s="385"/>
      <c r="F1267" s="386"/>
    </row>
    <row r="1268" spans="1:6" ht="15.75" thickBot="1" x14ac:dyDescent="0.3">
      <c r="A1268" s="15">
        <f t="shared" si="9"/>
        <v>44540</v>
      </c>
      <c r="B1268" s="72">
        <v>0.34187499999999998</v>
      </c>
      <c r="C1268" s="157">
        <v>101.58</v>
      </c>
      <c r="E1268" s="385"/>
      <c r="F1268" s="386"/>
    </row>
    <row r="1269" spans="1:6" ht="15.75" thickBot="1" x14ac:dyDescent="0.3">
      <c r="A1269" s="15">
        <f t="shared" si="9"/>
        <v>44543</v>
      </c>
      <c r="B1269" s="72">
        <v>0.34125</v>
      </c>
      <c r="C1269" s="157">
        <v>101.73</v>
      </c>
      <c r="E1269" s="385"/>
      <c r="F1269" s="386"/>
    </row>
    <row r="1270" spans="1:6" ht="15.75" thickBot="1" x14ac:dyDescent="0.3">
      <c r="A1270" s="15">
        <f t="shared" si="9"/>
        <v>44544</v>
      </c>
      <c r="B1270" s="72">
        <v>0.34312500000000001</v>
      </c>
      <c r="C1270" s="157">
        <v>101.77</v>
      </c>
      <c r="E1270" s="385"/>
      <c r="F1270" s="386"/>
    </row>
    <row r="1271" spans="1:6" ht="15.75" thickBot="1" x14ac:dyDescent="0.3">
      <c r="A1271" s="15">
        <f t="shared" si="9"/>
        <v>44545</v>
      </c>
      <c r="B1271" s="72">
        <v>0.34187499999999998</v>
      </c>
      <c r="C1271" s="157">
        <v>101.83</v>
      </c>
      <c r="E1271" s="385"/>
      <c r="F1271" s="386"/>
    </row>
    <row r="1272" spans="1:6" ht="15.75" thickBot="1" x14ac:dyDescent="0.3">
      <c r="A1272" s="15">
        <f t="shared" si="9"/>
        <v>44546</v>
      </c>
      <c r="B1272" s="72">
        <v>0.34187499999999998</v>
      </c>
      <c r="C1272" s="157">
        <v>101.89</v>
      </c>
      <c r="E1272" s="385"/>
      <c r="F1272" s="386"/>
    </row>
    <row r="1273" spans="1:6" ht="15.75" thickBot="1" x14ac:dyDescent="0.3">
      <c r="A1273" s="15">
        <f t="shared" si="9"/>
        <v>44547</v>
      </c>
      <c r="B1273" s="72">
        <v>0.34250000000000003</v>
      </c>
      <c r="C1273" s="157">
        <v>101.97</v>
      </c>
      <c r="E1273" s="385"/>
      <c r="F1273" s="386"/>
    </row>
    <row r="1274" spans="1:6" ht="15.75" thickBot="1" x14ac:dyDescent="0.3">
      <c r="A1274" s="15">
        <f t="shared" si="9"/>
        <v>44550</v>
      </c>
      <c r="B1274" s="72">
        <v>0.34250000000000003</v>
      </c>
      <c r="C1274" s="157">
        <v>102.15</v>
      </c>
      <c r="E1274" s="385"/>
      <c r="F1274" s="386"/>
    </row>
    <row r="1275" spans="1:6" ht="15.75" thickBot="1" x14ac:dyDescent="0.3">
      <c r="A1275" s="15">
        <f t="shared" si="9"/>
        <v>44551</v>
      </c>
      <c r="B1275" s="72">
        <v>0.34250000000000003</v>
      </c>
      <c r="C1275" s="157">
        <v>102.2</v>
      </c>
      <c r="E1275" s="385"/>
      <c r="F1275" s="386"/>
    </row>
    <row r="1276" spans="1:6" ht="15.75" thickBot="1" x14ac:dyDescent="0.3">
      <c r="A1276" s="15">
        <f t="shared" ref="A1276:A1339" si="11">+WORKDAY.INTL(A1275,1,1,)</f>
        <v>44552</v>
      </c>
      <c r="B1276" s="72">
        <v>0.34187499999999998</v>
      </c>
      <c r="C1276" s="157">
        <v>102.28</v>
      </c>
      <c r="E1276" s="385"/>
      <c r="F1276" s="386"/>
    </row>
    <row r="1277" spans="1:6" ht="15.75" thickBot="1" x14ac:dyDescent="0.3">
      <c r="A1277" s="15">
        <f t="shared" si="11"/>
        <v>44553</v>
      </c>
      <c r="B1277" s="72">
        <v>0.34250000000000003</v>
      </c>
      <c r="C1277" s="157">
        <v>102.33</v>
      </c>
      <c r="E1277" s="385"/>
      <c r="F1277" s="386"/>
    </row>
    <row r="1278" spans="1:6" ht="15.75" thickBot="1" x14ac:dyDescent="0.3">
      <c r="A1278" s="15">
        <f t="shared" si="11"/>
        <v>44554</v>
      </c>
      <c r="B1278" s="72">
        <f t="shared" ref="B1278:B1325" si="12">+B1277</f>
        <v>0.34250000000000003</v>
      </c>
      <c r="C1278" s="157">
        <v>102.33</v>
      </c>
      <c r="E1278" s="385"/>
      <c r="F1278" s="386"/>
    </row>
    <row r="1279" spans="1:6" ht="15.75" thickBot="1" x14ac:dyDescent="0.3">
      <c r="A1279" s="15">
        <f t="shared" si="11"/>
        <v>44557</v>
      </c>
      <c r="B1279" s="72">
        <v>0.34250000000000003</v>
      </c>
      <c r="C1279" s="157">
        <v>102.57</v>
      </c>
      <c r="E1279" s="385"/>
      <c r="F1279" s="386"/>
    </row>
    <row r="1280" spans="1:6" ht="15.75" thickBot="1" x14ac:dyDescent="0.3">
      <c r="A1280" s="15">
        <f t="shared" si="11"/>
        <v>44558</v>
      </c>
      <c r="B1280" s="72">
        <v>0.34250000000000003</v>
      </c>
      <c r="C1280" s="157">
        <v>102.62</v>
      </c>
      <c r="E1280" s="385"/>
      <c r="F1280" s="386"/>
    </row>
    <row r="1281" spans="1:6" ht="15.75" thickBot="1" x14ac:dyDescent="0.3">
      <c r="A1281" s="15">
        <f t="shared" si="11"/>
        <v>44559</v>
      </c>
      <c r="B1281" s="72">
        <v>0.34187499999999998</v>
      </c>
      <c r="C1281" s="157">
        <v>102.69</v>
      </c>
      <c r="E1281" s="385"/>
      <c r="F1281" s="386"/>
    </row>
    <row r="1282" spans="1:6" ht="15.75" thickBot="1" x14ac:dyDescent="0.3">
      <c r="A1282" s="15">
        <f t="shared" si="11"/>
        <v>44560</v>
      </c>
      <c r="B1282" s="72">
        <v>0.34125</v>
      </c>
      <c r="C1282" s="157">
        <v>102.75</v>
      </c>
      <c r="E1282" s="385"/>
      <c r="F1282" s="386"/>
    </row>
    <row r="1283" spans="1:6" ht="15.75" thickBot="1" x14ac:dyDescent="0.3">
      <c r="A1283" s="15">
        <f t="shared" si="11"/>
        <v>44561</v>
      </c>
      <c r="B1283" s="72">
        <f t="shared" si="12"/>
        <v>0.34125</v>
      </c>
      <c r="C1283" s="157">
        <v>102.75</v>
      </c>
      <c r="E1283" s="385"/>
      <c r="F1283" s="386"/>
    </row>
    <row r="1284" spans="1:6" ht="15.75" thickBot="1" x14ac:dyDescent="0.3">
      <c r="A1284" s="15">
        <f t="shared" si="11"/>
        <v>44564</v>
      </c>
      <c r="B1284" s="72">
        <v>0.34187499999999998</v>
      </c>
      <c r="C1284" s="157">
        <v>103.04</v>
      </c>
      <c r="E1284" s="385"/>
      <c r="F1284" s="386"/>
    </row>
    <row r="1285" spans="1:6" ht="15.75" thickBot="1" x14ac:dyDescent="0.3">
      <c r="A1285" s="15">
        <f t="shared" si="11"/>
        <v>44565</v>
      </c>
      <c r="B1285" s="72">
        <v>0.34250000000000003</v>
      </c>
      <c r="C1285" s="157">
        <v>103.08</v>
      </c>
      <c r="E1285" s="385"/>
      <c r="F1285" s="386"/>
    </row>
    <row r="1286" spans="1:6" ht="15.75" thickBot="1" x14ac:dyDescent="0.3">
      <c r="A1286" s="15">
        <f t="shared" si="11"/>
        <v>44566</v>
      </c>
      <c r="B1286" s="72">
        <v>0.34250000000000003</v>
      </c>
      <c r="C1286" s="157">
        <v>103.15</v>
      </c>
      <c r="E1286" s="385"/>
      <c r="F1286" s="386"/>
    </row>
    <row r="1287" spans="1:6" ht="15.75" thickBot="1" x14ac:dyDescent="0.3">
      <c r="A1287" s="15">
        <f t="shared" si="11"/>
        <v>44567</v>
      </c>
      <c r="B1287" s="72">
        <v>0.34187499999999998</v>
      </c>
      <c r="C1287" s="157">
        <v>103.23</v>
      </c>
      <c r="E1287" s="385"/>
      <c r="F1287" s="386"/>
    </row>
    <row r="1288" spans="1:6" ht="15.75" thickBot="1" x14ac:dyDescent="0.3">
      <c r="A1288" s="15">
        <f t="shared" si="11"/>
        <v>44568</v>
      </c>
      <c r="B1288" s="72">
        <v>0.37375000000000003</v>
      </c>
      <c r="C1288" s="157">
        <v>103.29</v>
      </c>
      <c r="E1288" s="385"/>
      <c r="F1288" s="386"/>
    </row>
    <row r="1289" spans="1:6" ht="15.75" thickBot="1" x14ac:dyDescent="0.3">
      <c r="A1289" s="15">
        <f t="shared" si="11"/>
        <v>44571</v>
      </c>
      <c r="B1289" s="72">
        <v>0.37624999999999997</v>
      </c>
      <c r="C1289" s="157">
        <v>103.51</v>
      </c>
      <c r="E1289" s="385"/>
      <c r="F1289" s="386"/>
    </row>
    <row r="1290" spans="1:6" ht="15.75" thickBot="1" x14ac:dyDescent="0.3">
      <c r="A1290" s="15">
        <f t="shared" si="11"/>
        <v>44572</v>
      </c>
      <c r="B1290" s="72">
        <v>0.37375000000000003</v>
      </c>
      <c r="C1290" s="157">
        <v>103.58</v>
      </c>
      <c r="E1290" s="385"/>
      <c r="F1290" s="386"/>
    </row>
    <row r="1291" spans="1:6" ht="15.75" thickBot="1" x14ac:dyDescent="0.3">
      <c r="A1291" s="15">
        <f t="shared" si="11"/>
        <v>44573</v>
      </c>
      <c r="B1291" s="72">
        <v>0.37437500000000001</v>
      </c>
      <c r="C1291" s="157">
        <v>103.64</v>
      </c>
      <c r="E1291" s="385"/>
      <c r="F1291" s="386"/>
    </row>
    <row r="1292" spans="1:6" ht="15.75" thickBot="1" x14ac:dyDescent="0.3">
      <c r="A1292" s="15">
        <f t="shared" si="11"/>
        <v>44574</v>
      </c>
      <c r="B1292" s="72">
        <v>0.37437500000000001</v>
      </c>
      <c r="C1292" s="157">
        <v>103.74</v>
      </c>
      <c r="E1292" s="385"/>
      <c r="F1292" s="386"/>
    </row>
    <row r="1293" spans="1:6" ht="15.75" thickBot="1" x14ac:dyDescent="0.3">
      <c r="A1293" s="15">
        <f t="shared" si="11"/>
        <v>44575</v>
      </c>
      <c r="B1293" s="72">
        <v>0.37624999999999997</v>
      </c>
      <c r="C1293" s="157">
        <v>103.85</v>
      </c>
      <c r="E1293" s="385"/>
      <c r="F1293" s="386"/>
    </row>
    <row r="1294" spans="1:6" ht="15.75" thickBot="1" x14ac:dyDescent="0.3">
      <c r="A1294" s="15">
        <f t="shared" si="11"/>
        <v>44578</v>
      </c>
      <c r="B1294" s="72">
        <v>0.3775</v>
      </c>
      <c r="C1294" s="157">
        <v>104.07</v>
      </c>
      <c r="E1294" s="385"/>
      <c r="F1294" s="386"/>
    </row>
    <row r="1295" spans="1:6" ht="15.75" thickBot="1" x14ac:dyDescent="0.3">
      <c r="A1295" s="15">
        <f t="shared" si="11"/>
        <v>44579</v>
      </c>
      <c r="B1295" s="72">
        <v>0.375</v>
      </c>
      <c r="C1295" s="157">
        <v>104.19</v>
      </c>
      <c r="E1295" s="385"/>
      <c r="F1295" s="386"/>
    </row>
    <row r="1296" spans="1:6" ht="15.75" thickBot="1" x14ac:dyDescent="0.3">
      <c r="A1296" s="15">
        <f t="shared" si="11"/>
        <v>44580</v>
      </c>
      <c r="B1296" s="72">
        <v>0.37562499999999999</v>
      </c>
      <c r="C1296" s="157">
        <v>104.24</v>
      </c>
      <c r="E1296" s="385"/>
      <c r="F1296" s="386"/>
    </row>
    <row r="1297" spans="1:6" ht="15.75" thickBot="1" x14ac:dyDescent="0.3">
      <c r="A1297" s="15">
        <f t="shared" si="11"/>
        <v>44581</v>
      </c>
      <c r="B1297" s="72">
        <v>0.37624999999999997</v>
      </c>
      <c r="C1297" s="157">
        <v>104.3</v>
      </c>
      <c r="E1297" s="385"/>
      <c r="F1297" s="386"/>
    </row>
    <row r="1298" spans="1:6" ht="15.75" thickBot="1" x14ac:dyDescent="0.3">
      <c r="A1298" s="15">
        <f t="shared" si="11"/>
        <v>44582</v>
      </c>
      <c r="B1298" s="72">
        <v>0.375</v>
      </c>
      <c r="C1298" s="157">
        <v>104.35</v>
      </c>
      <c r="E1298" s="385"/>
      <c r="F1298" s="386"/>
    </row>
    <row r="1299" spans="1:6" ht="15.75" thickBot="1" x14ac:dyDescent="0.3">
      <c r="A1299" s="15">
        <f t="shared" si="11"/>
        <v>44585</v>
      </c>
      <c r="B1299" s="72">
        <v>0.37624999999999997</v>
      </c>
      <c r="C1299" s="157">
        <v>104.53</v>
      </c>
      <c r="E1299" s="385"/>
      <c r="F1299" s="386"/>
    </row>
    <row r="1300" spans="1:6" ht="15.75" thickBot="1" x14ac:dyDescent="0.3">
      <c r="A1300" s="15">
        <f t="shared" si="11"/>
        <v>44586</v>
      </c>
      <c r="B1300" s="72">
        <v>0.37624999999999997</v>
      </c>
      <c r="C1300" s="157">
        <v>104.6</v>
      </c>
      <c r="E1300" s="385"/>
      <c r="F1300" s="386"/>
    </row>
    <row r="1301" spans="1:6" ht="15.75" thickBot="1" x14ac:dyDescent="0.3">
      <c r="A1301" s="15">
        <f t="shared" si="11"/>
        <v>44587</v>
      </c>
      <c r="B1301" s="72">
        <v>0.37562499999999999</v>
      </c>
      <c r="C1301" s="157">
        <v>104.68</v>
      </c>
      <c r="E1301" s="385"/>
      <c r="F1301" s="386"/>
    </row>
    <row r="1302" spans="1:6" ht="15.75" thickBot="1" x14ac:dyDescent="0.3">
      <c r="A1302" s="15">
        <f t="shared" si="11"/>
        <v>44588</v>
      </c>
      <c r="B1302" s="72">
        <v>0.37562499999999999</v>
      </c>
      <c r="C1302" s="157">
        <v>104.76</v>
      </c>
      <c r="E1302" s="385"/>
      <c r="F1302" s="386"/>
    </row>
    <row r="1303" spans="1:6" ht="15.75" thickBot="1" x14ac:dyDescent="0.3">
      <c r="A1303" s="15">
        <f t="shared" si="11"/>
        <v>44589</v>
      </c>
      <c r="B1303" s="72">
        <v>0.3775</v>
      </c>
      <c r="C1303" s="157">
        <v>104.83</v>
      </c>
      <c r="E1303" s="385"/>
      <c r="F1303" s="386"/>
    </row>
    <row r="1304" spans="1:6" ht="15.75" thickBot="1" x14ac:dyDescent="0.3">
      <c r="A1304" s="15">
        <f t="shared" si="11"/>
        <v>44592</v>
      </c>
      <c r="B1304" s="72">
        <v>0.37624999999999997</v>
      </c>
      <c r="C1304" s="157">
        <v>105.02</v>
      </c>
      <c r="E1304" s="385"/>
      <c r="F1304" s="386"/>
    </row>
    <row r="1305" spans="1:6" ht="15.75" thickBot="1" x14ac:dyDescent="0.3">
      <c r="A1305" s="15">
        <f t="shared" si="11"/>
        <v>44593</v>
      </c>
      <c r="B1305" s="72">
        <v>0.375</v>
      </c>
      <c r="C1305" s="157">
        <v>105.14</v>
      </c>
      <c r="E1305" s="385"/>
      <c r="F1305" s="386"/>
    </row>
    <row r="1306" spans="1:6" ht="15.75" thickBot="1" x14ac:dyDescent="0.3">
      <c r="A1306" s="15">
        <f t="shared" si="11"/>
        <v>44594</v>
      </c>
      <c r="B1306" s="72">
        <v>0.37562499999999999</v>
      </c>
      <c r="C1306" s="157">
        <v>105.22</v>
      </c>
      <c r="E1306" s="385"/>
      <c r="F1306" s="386"/>
    </row>
    <row r="1307" spans="1:6" ht="15.75" thickBot="1" x14ac:dyDescent="0.3">
      <c r="A1307" s="15">
        <f t="shared" si="11"/>
        <v>44595</v>
      </c>
      <c r="B1307" s="72">
        <v>0.37562499999999999</v>
      </c>
      <c r="C1307" s="157">
        <v>105.31</v>
      </c>
      <c r="E1307" s="385"/>
      <c r="F1307" s="386"/>
    </row>
    <row r="1308" spans="1:6" ht="15.75" thickBot="1" x14ac:dyDescent="0.3">
      <c r="A1308" s="15">
        <f t="shared" si="11"/>
        <v>44596</v>
      </c>
      <c r="B1308" s="72">
        <v>0.37562499999999999</v>
      </c>
      <c r="C1308" s="157">
        <v>105.42</v>
      </c>
      <c r="E1308" s="385"/>
      <c r="F1308" s="386"/>
    </row>
    <row r="1309" spans="1:6" ht="15.75" thickBot="1" x14ac:dyDescent="0.3">
      <c r="A1309" s="15">
        <f t="shared" si="11"/>
        <v>44599</v>
      </c>
      <c r="B1309" s="72">
        <v>0.37375000000000003</v>
      </c>
      <c r="C1309" s="157">
        <v>105.7</v>
      </c>
      <c r="E1309" s="385"/>
      <c r="F1309" s="386"/>
    </row>
    <row r="1310" spans="1:6" ht="15.75" thickBot="1" x14ac:dyDescent="0.3">
      <c r="A1310" s="15">
        <f t="shared" si="11"/>
        <v>44600</v>
      </c>
      <c r="B1310" s="72">
        <v>0.37437500000000001</v>
      </c>
      <c r="C1310" s="157">
        <v>105.8</v>
      </c>
      <c r="E1310" s="385"/>
      <c r="F1310" s="386"/>
    </row>
    <row r="1311" spans="1:6" ht="15.75" thickBot="1" x14ac:dyDescent="0.3">
      <c r="A1311" s="15">
        <f t="shared" si="11"/>
        <v>44601</v>
      </c>
      <c r="B1311" s="72">
        <v>0.37687500000000002</v>
      </c>
      <c r="C1311" s="157">
        <v>105.91</v>
      </c>
      <c r="E1311" s="385"/>
      <c r="F1311" s="386"/>
    </row>
    <row r="1312" spans="1:6" ht="15.75" thickBot="1" x14ac:dyDescent="0.3">
      <c r="A1312" s="15">
        <f t="shared" si="11"/>
        <v>44602</v>
      </c>
      <c r="B1312" s="72">
        <v>0.375</v>
      </c>
      <c r="C1312" s="157">
        <v>106.01</v>
      </c>
      <c r="E1312" s="385"/>
      <c r="F1312" s="386"/>
    </row>
    <row r="1313" spans="1:6" ht="15.75" thickBot="1" x14ac:dyDescent="0.3">
      <c r="A1313" s="15">
        <f t="shared" si="11"/>
        <v>44603</v>
      </c>
      <c r="B1313" s="72">
        <v>0.37562499999999999</v>
      </c>
      <c r="C1313" s="157">
        <v>106.11</v>
      </c>
      <c r="E1313" s="385"/>
      <c r="F1313" s="386"/>
    </row>
    <row r="1314" spans="1:6" ht="15.75" thickBot="1" x14ac:dyDescent="0.3">
      <c r="A1314" s="15">
        <f t="shared" si="11"/>
        <v>44606</v>
      </c>
      <c r="B1314" s="72">
        <v>0.375</v>
      </c>
      <c r="C1314" s="157">
        <v>106.39</v>
      </c>
      <c r="E1314" s="385"/>
      <c r="F1314" s="386"/>
    </row>
    <row r="1315" spans="1:6" ht="15.75" thickBot="1" x14ac:dyDescent="0.3">
      <c r="A1315" s="15">
        <f t="shared" si="11"/>
        <v>44607</v>
      </c>
      <c r="B1315" s="72">
        <v>0.37624999999999997</v>
      </c>
      <c r="C1315" s="157">
        <v>106.48</v>
      </c>
      <c r="E1315" s="385"/>
      <c r="F1315" s="386"/>
    </row>
    <row r="1316" spans="1:6" ht="15.75" thickBot="1" x14ac:dyDescent="0.3">
      <c r="A1316" s="15">
        <f t="shared" si="11"/>
        <v>44608</v>
      </c>
      <c r="B1316" s="72">
        <v>0.37687500000000002</v>
      </c>
      <c r="C1316" s="157">
        <v>106.58</v>
      </c>
      <c r="E1316" s="385"/>
      <c r="F1316" s="386"/>
    </row>
    <row r="1317" spans="1:6" ht="15.75" thickBot="1" x14ac:dyDescent="0.3">
      <c r="A1317" s="15">
        <f t="shared" si="11"/>
        <v>44609</v>
      </c>
      <c r="B1317" s="72">
        <v>0.37624999999999997</v>
      </c>
      <c r="C1317" s="157">
        <v>106.68</v>
      </c>
      <c r="E1317" s="385"/>
      <c r="F1317" s="386"/>
    </row>
    <row r="1318" spans="1:6" ht="15.75" thickBot="1" x14ac:dyDescent="0.3">
      <c r="A1318" s="15">
        <f t="shared" si="11"/>
        <v>44610</v>
      </c>
      <c r="B1318" s="72">
        <v>0.39937499999999998</v>
      </c>
      <c r="C1318" s="157">
        <v>106.78</v>
      </c>
      <c r="E1318" s="385"/>
      <c r="F1318" s="386"/>
    </row>
    <row r="1319" spans="1:6" ht="15.75" thickBot="1" x14ac:dyDescent="0.3">
      <c r="A1319" s="15">
        <f t="shared" si="11"/>
        <v>44613</v>
      </c>
      <c r="B1319" s="72">
        <v>0.39874999999999999</v>
      </c>
      <c r="C1319" s="157">
        <v>107.06</v>
      </c>
      <c r="E1319" s="385"/>
      <c r="F1319" s="386"/>
    </row>
    <row r="1320" spans="1:6" ht="15.75" thickBot="1" x14ac:dyDescent="0.3">
      <c r="A1320" s="15">
        <f t="shared" si="11"/>
        <v>44614</v>
      </c>
      <c r="B1320" s="72">
        <v>0.40062500000000001</v>
      </c>
      <c r="C1320" s="157">
        <v>107.16</v>
      </c>
      <c r="E1320" s="385"/>
      <c r="F1320" s="386"/>
    </row>
    <row r="1321" spans="1:6" ht="15.75" thickBot="1" x14ac:dyDescent="0.3">
      <c r="A1321" s="15">
        <f t="shared" si="11"/>
        <v>44615</v>
      </c>
      <c r="B1321" s="72">
        <v>0.40062500000000001</v>
      </c>
      <c r="C1321" s="157">
        <v>107.3</v>
      </c>
      <c r="E1321" s="385"/>
      <c r="F1321" s="386"/>
    </row>
    <row r="1322" spans="1:6" ht="15.75" thickBot="1" x14ac:dyDescent="0.3">
      <c r="A1322" s="15">
        <f t="shared" si="11"/>
        <v>44616</v>
      </c>
      <c r="B1322" s="72">
        <v>0.39937499999999998</v>
      </c>
      <c r="C1322" s="157">
        <v>107.39</v>
      </c>
      <c r="E1322" s="385"/>
      <c r="F1322" s="386"/>
    </row>
    <row r="1323" spans="1:6" ht="15.75" thickBot="1" x14ac:dyDescent="0.3">
      <c r="A1323" s="15">
        <f t="shared" si="11"/>
        <v>44617</v>
      </c>
      <c r="B1323" s="72">
        <v>0.39937499999999998</v>
      </c>
      <c r="C1323" s="157">
        <v>107.44</v>
      </c>
      <c r="E1323" s="385"/>
      <c r="F1323" s="386"/>
    </row>
    <row r="1324" spans="1:6" ht="15.75" thickBot="1" x14ac:dyDescent="0.3">
      <c r="A1324" s="15">
        <f t="shared" si="11"/>
        <v>44620</v>
      </c>
      <c r="B1324" s="72">
        <f t="shared" si="12"/>
        <v>0.39937499999999998</v>
      </c>
      <c r="C1324" s="157">
        <v>107.44</v>
      </c>
      <c r="E1324" s="385"/>
      <c r="F1324" s="386"/>
    </row>
    <row r="1325" spans="1:6" ht="15.75" thickBot="1" x14ac:dyDescent="0.3">
      <c r="A1325" s="15">
        <f t="shared" si="11"/>
        <v>44621</v>
      </c>
      <c r="B1325" s="72">
        <f t="shared" si="12"/>
        <v>0.39937499999999998</v>
      </c>
      <c r="C1325" s="157">
        <v>107.44</v>
      </c>
      <c r="E1325" s="385"/>
      <c r="F1325" s="386"/>
    </row>
    <row r="1326" spans="1:6" ht="15.75" thickBot="1" x14ac:dyDescent="0.3">
      <c r="A1326" s="15">
        <f t="shared" si="11"/>
        <v>44622</v>
      </c>
      <c r="B1326" s="72">
        <v>0.40125</v>
      </c>
      <c r="C1326" s="157">
        <v>107.94</v>
      </c>
      <c r="E1326" s="385"/>
      <c r="F1326" s="386"/>
    </row>
    <row r="1327" spans="1:6" ht="15.75" thickBot="1" x14ac:dyDescent="0.3">
      <c r="A1327" s="15">
        <f t="shared" si="11"/>
        <v>44623</v>
      </c>
      <c r="B1327" s="72">
        <v>0.40062500000000001</v>
      </c>
      <c r="C1327" s="157">
        <v>108.04</v>
      </c>
      <c r="E1327" s="385"/>
      <c r="F1327" s="386"/>
    </row>
    <row r="1328" spans="1:6" ht="15.75" thickBot="1" x14ac:dyDescent="0.3">
      <c r="A1328" s="15">
        <f t="shared" si="11"/>
        <v>44624</v>
      </c>
      <c r="B1328" s="72">
        <v>0.39750000000000002</v>
      </c>
      <c r="C1328" s="157">
        <v>108.16</v>
      </c>
      <c r="E1328" s="385"/>
      <c r="F1328" s="386"/>
    </row>
    <row r="1329" spans="1:6" ht="15.75" thickBot="1" x14ac:dyDescent="0.3">
      <c r="A1329" s="15">
        <f t="shared" si="11"/>
        <v>44627</v>
      </c>
      <c r="B1329" s="72">
        <v>0.40062500000000001</v>
      </c>
      <c r="C1329" s="157">
        <v>108.45</v>
      </c>
      <c r="E1329" s="385"/>
      <c r="F1329" s="386"/>
    </row>
    <row r="1330" spans="1:6" ht="15.75" thickBot="1" x14ac:dyDescent="0.3">
      <c r="A1330" s="15">
        <f t="shared" si="11"/>
        <v>44628</v>
      </c>
      <c r="B1330" s="72">
        <v>0.4</v>
      </c>
      <c r="C1330" s="157">
        <v>108.56</v>
      </c>
      <c r="E1330" s="385"/>
      <c r="F1330" s="386"/>
    </row>
    <row r="1331" spans="1:6" ht="15.75" thickBot="1" x14ac:dyDescent="0.3">
      <c r="A1331" s="15">
        <f t="shared" si="11"/>
        <v>44629</v>
      </c>
      <c r="B1331" s="72">
        <v>0.39874999999999999</v>
      </c>
      <c r="C1331" s="157">
        <v>108.68</v>
      </c>
      <c r="E1331" s="385"/>
      <c r="F1331" s="386"/>
    </row>
    <row r="1332" spans="1:6" ht="15.75" thickBot="1" x14ac:dyDescent="0.3">
      <c r="A1332" s="15">
        <f t="shared" si="11"/>
        <v>44630</v>
      </c>
      <c r="B1332" s="72">
        <v>0.40062500000000001</v>
      </c>
      <c r="C1332" s="157">
        <v>108.78</v>
      </c>
      <c r="E1332" s="385"/>
      <c r="F1332" s="386"/>
    </row>
    <row r="1333" spans="1:6" ht="15.75" thickBot="1" x14ac:dyDescent="0.3">
      <c r="A1333" s="15">
        <f t="shared" si="11"/>
        <v>44631</v>
      </c>
      <c r="B1333" s="72">
        <v>0.39937499999999998</v>
      </c>
      <c r="C1333" s="157">
        <v>108.89</v>
      </c>
      <c r="E1333" s="385"/>
      <c r="F1333" s="386"/>
    </row>
    <row r="1334" spans="1:6" ht="15.75" thickBot="1" x14ac:dyDescent="0.3">
      <c r="A1334" s="15">
        <f t="shared" si="11"/>
        <v>44634</v>
      </c>
      <c r="B1334" s="72">
        <v>0.39874999999999999</v>
      </c>
      <c r="C1334" s="157">
        <v>109.21</v>
      </c>
      <c r="E1334" s="385"/>
      <c r="F1334" s="386"/>
    </row>
    <row r="1335" spans="1:6" ht="15.75" thickBot="1" x14ac:dyDescent="0.3">
      <c r="A1335" s="15">
        <f t="shared" si="11"/>
        <v>44635</v>
      </c>
      <c r="B1335" s="72">
        <v>0.4</v>
      </c>
      <c r="C1335" s="157">
        <v>109.31</v>
      </c>
      <c r="E1335" s="385"/>
      <c r="F1335" s="386"/>
    </row>
    <row r="1336" spans="1:6" ht="15.75" thickBot="1" x14ac:dyDescent="0.3">
      <c r="A1336" s="15">
        <f t="shared" si="11"/>
        <v>44636</v>
      </c>
      <c r="B1336" s="72">
        <v>0.40062500000000001</v>
      </c>
      <c r="C1336" s="157">
        <v>109.43</v>
      </c>
      <c r="E1336" s="396"/>
      <c r="F1336" s="397"/>
    </row>
    <row r="1337" spans="1:6" ht="15.75" thickBot="1" x14ac:dyDescent="0.3">
      <c r="A1337" s="15">
        <f t="shared" si="11"/>
        <v>44637</v>
      </c>
      <c r="B1337" s="72">
        <v>0.40187499999999998</v>
      </c>
      <c r="C1337" s="157">
        <v>109.52</v>
      </c>
      <c r="E1337" s="385"/>
      <c r="F1337" s="386"/>
    </row>
    <row r="1338" spans="1:6" ht="15.75" thickBot="1" x14ac:dyDescent="0.3">
      <c r="A1338" s="15">
        <f t="shared" si="11"/>
        <v>44638</v>
      </c>
      <c r="B1338" s="72">
        <v>0.40062500000000001</v>
      </c>
      <c r="C1338" s="157">
        <v>109.64</v>
      </c>
      <c r="E1338" s="385"/>
      <c r="F1338" s="386"/>
    </row>
    <row r="1339" spans="1:6" ht="15.75" thickBot="1" x14ac:dyDescent="0.3">
      <c r="A1339" s="15">
        <f t="shared" si="11"/>
        <v>44641</v>
      </c>
      <c r="B1339" s="72">
        <v>0.4</v>
      </c>
      <c r="C1339" s="157">
        <v>109.99</v>
      </c>
      <c r="E1339" s="385"/>
      <c r="F1339" s="386"/>
    </row>
    <row r="1340" spans="1:6" ht="15.75" thickBot="1" x14ac:dyDescent="0.3">
      <c r="A1340" s="15">
        <f t="shared" ref="A1340:A1403" si="13">+WORKDAY.INTL(A1339,1,1,)</f>
        <v>44642</v>
      </c>
      <c r="B1340" s="72">
        <v>0.39874999999999999</v>
      </c>
      <c r="C1340" s="157">
        <v>110.07</v>
      </c>
      <c r="E1340" s="385"/>
      <c r="F1340" s="386"/>
    </row>
    <row r="1341" spans="1:6" ht="15.75" thickBot="1" x14ac:dyDescent="0.3">
      <c r="A1341" s="15">
        <f t="shared" si="13"/>
        <v>44643</v>
      </c>
      <c r="B1341" s="72">
        <v>0.41749999999999998</v>
      </c>
      <c r="C1341" s="157">
        <v>110.19</v>
      </c>
      <c r="E1341" s="385"/>
      <c r="F1341" s="386"/>
    </row>
    <row r="1342" spans="1:6" ht="15.75" thickBot="1" x14ac:dyDescent="0.3">
      <c r="A1342" s="15">
        <f t="shared" si="13"/>
        <v>44644</v>
      </c>
      <c r="B1342" s="72">
        <f t="shared" ref="B1342" si="14">+B1341</f>
        <v>0.41749999999999998</v>
      </c>
      <c r="C1342" s="157">
        <v>110.19</v>
      </c>
      <c r="E1342" s="385"/>
      <c r="F1342" s="386"/>
    </row>
    <row r="1343" spans="1:6" ht="15.75" thickBot="1" x14ac:dyDescent="0.3">
      <c r="A1343" s="15">
        <f t="shared" si="13"/>
        <v>44645</v>
      </c>
      <c r="B1343" s="72">
        <v>0.419375</v>
      </c>
      <c r="C1343" s="157">
        <v>110.39</v>
      </c>
      <c r="E1343" s="385"/>
      <c r="F1343" s="386"/>
    </row>
    <row r="1344" spans="1:6" ht="15.75" thickBot="1" x14ac:dyDescent="0.3">
      <c r="A1344" s="15">
        <f t="shared" si="13"/>
        <v>44648</v>
      </c>
      <c r="B1344" s="72">
        <v>0.42</v>
      </c>
      <c r="C1344" s="157">
        <v>110.7</v>
      </c>
      <c r="E1344" s="385"/>
      <c r="F1344" s="386"/>
    </row>
    <row r="1345" spans="1:7" ht="15.75" thickBot="1" x14ac:dyDescent="0.3">
      <c r="A1345" s="15">
        <f t="shared" si="13"/>
        <v>44649</v>
      </c>
      <c r="B1345" s="72">
        <v>0.419375</v>
      </c>
      <c r="C1345" s="157">
        <v>110.8</v>
      </c>
      <c r="E1345" s="385"/>
      <c r="F1345" s="386"/>
    </row>
    <row r="1346" spans="1:7" ht="15.75" thickBot="1" x14ac:dyDescent="0.3">
      <c r="A1346" s="15">
        <f t="shared" si="13"/>
        <v>44650</v>
      </c>
      <c r="B1346" s="72">
        <v>0.42</v>
      </c>
      <c r="C1346" s="157">
        <v>110.92</v>
      </c>
      <c r="E1346" s="396"/>
      <c r="F1346" s="397"/>
    </row>
    <row r="1347" spans="1:7" ht="15.75" thickBot="1" x14ac:dyDescent="0.3">
      <c r="A1347" s="15">
        <f t="shared" si="13"/>
        <v>44651</v>
      </c>
      <c r="B1347" s="72">
        <v>0.41812500000000002</v>
      </c>
      <c r="C1347" s="157">
        <v>110.98</v>
      </c>
    </row>
    <row r="1348" spans="1:7" ht="15.75" thickBot="1" x14ac:dyDescent="0.3">
      <c r="A1348" s="15">
        <f t="shared" si="13"/>
        <v>44652</v>
      </c>
      <c r="B1348" s="72">
        <v>0.42</v>
      </c>
      <c r="C1348" s="157">
        <v>111.13</v>
      </c>
      <c r="F1348" s="385"/>
      <c r="G1348" s="386"/>
    </row>
    <row r="1349" spans="1:7" ht="15.75" thickBot="1" x14ac:dyDescent="0.3">
      <c r="A1349" s="15">
        <f t="shared" si="13"/>
        <v>44655</v>
      </c>
      <c r="B1349" s="72">
        <v>0.42</v>
      </c>
      <c r="C1349" s="157">
        <v>111.56</v>
      </c>
      <c r="F1349" s="385"/>
      <c r="G1349" s="386"/>
    </row>
    <row r="1350" spans="1:7" ht="15.75" thickBot="1" x14ac:dyDescent="0.3">
      <c r="A1350" s="15">
        <f t="shared" si="13"/>
        <v>44656</v>
      </c>
      <c r="B1350" s="72">
        <v>0.42125000000000001</v>
      </c>
      <c r="C1350" s="157">
        <v>111.7</v>
      </c>
      <c r="F1350" s="385"/>
      <c r="G1350" s="386"/>
    </row>
    <row r="1351" spans="1:7" ht="15.75" thickBot="1" x14ac:dyDescent="0.3">
      <c r="A1351" s="15">
        <f t="shared" si="13"/>
        <v>44657</v>
      </c>
      <c r="B1351" s="72">
        <v>0.42125000000000001</v>
      </c>
      <c r="C1351" s="157">
        <v>111.84</v>
      </c>
      <c r="F1351" s="385"/>
      <c r="G1351" s="386"/>
    </row>
    <row r="1352" spans="1:7" ht="15.75" thickBot="1" x14ac:dyDescent="0.3">
      <c r="A1352" s="15">
        <f t="shared" si="13"/>
        <v>44658</v>
      </c>
      <c r="B1352" s="72">
        <v>0.419375</v>
      </c>
      <c r="C1352" s="157">
        <v>111.98</v>
      </c>
      <c r="F1352" s="385"/>
      <c r="G1352" s="386"/>
    </row>
    <row r="1353" spans="1:7" ht="15.75" thickBot="1" x14ac:dyDescent="0.3">
      <c r="A1353" s="15">
        <f t="shared" si="13"/>
        <v>44659</v>
      </c>
      <c r="B1353" s="72">
        <v>0.419375</v>
      </c>
      <c r="C1353" s="157">
        <v>112.13</v>
      </c>
      <c r="F1353" s="385"/>
      <c r="G1353" s="386"/>
    </row>
    <row r="1354" spans="1:7" ht="15.75" thickBot="1" x14ac:dyDescent="0.3">
      <c r="A1354" s="15">
        <f t="shared" si="13"/>
        <v>44662</v>
      </c>
      <c r="B1354" s="72">
        <v>0.42</v>
      </c>
      <c r="C1354" s="157">
        <v>112.59</v>
      </c>
      <c r="F1354" s="385"/>
      <c r="G1354" s="386"/>
    </row>
    <row r="1355" spans="1:7" ht="15.75" thickBot="1" x14ac:dyDescent="0.3">
      <c r="A1355" s="15">
        <f t="shared" si="13"/>
        <v>44663</v>
      </c>
      <c r="B1355" s="72">
        <v>0.41875000000000001</v>
      </c>
      <c r="C1355" s="157">
        <v>112.74</v>
      </c>
      <c r="F1355" s="385"/>
      <c r="G1355" s="386"/>
    </row>
    <row r="1356" spans="1:7" ht="15.75" thickBot="1" x14ac:dyDescent="0.3">
      <c r="A1356" s="15">
        <f t="shared" si="13"/>
        <v>44664</v>
      </c>
      <c r="B1356" s="72">
        <v>0.41875000000000001</v>
      </c>
      <c r="C1356" s="157">
        <v>112.91</v>
      </c>
      <c r="F1356" s="385"/>
      <c r="G1356" s="386"/>
    </row>
    <row r="1357" spans="1:7" ht="15.75" thickBot="1" x14ac:dyDescent="0.3">
      <c r="A1357" s="15">
        <f t="shared" si="13"/>
        <v>44665</v>
      </c>
      <c r="B1357" s="72">
        <v>0.41875000000000001</v>
      </c>
      <c r="C1357" s="157">
        <v>112.91</v>
      </c>
      <c r="F1357" s="385"/>
      <c r="G1357" s="386"/>
    </row>
    <row r="1358" spans="1:7" ht="15.75" thickBot="1" x14ac:dyDescent="0.3">
      <c r="A1358" s="15">
        <f t="shared" si="13"/>
        <v>44666</v>
      </c>
      <c r="B1358" s="72">
        <v>0.41875000000000001</v>
      </c>
      <c r="C1358" s="157">
        <v>112.91</v>
      </c>
      <c r="F1358" s="385"/>
      <c r="G1358" s="386"/>
    </row>
    <row r="1359" spans="1:7" ht="15.75" thickBot="1" x14ac:dyDescent="0.3">
      <c r="A1359" s="15">
        <f t="shared" si="13"/>
        <v>44669</v>
      </c>
      <c r="B1359" s="72">
        <v>0.44562499999999999</v>
      </c>
      <c r="C1359" s="157">
        <v>113.66</v>
      </c>
      <c r="F1359" s="385"/>
      <c r="G1359" s="386"/>
    </row>
    <row r="1360" spans="1:7" ht="15.75" thickBot="1" x14ac:dyDescent="0.3">
      <c r="A1360" s="15">
        <f t="shared" si="13"/>
        <v>44670</v>
      </c>
      <c r="B1360" s="72">
        <v>0.4425</v>
      </c>
      <c r="C1360" s="157">
        <v>113.79</v>
      </c>
      <c r="F1360" s="385"/>
      <c r="G1360" s="386"/>
    </row>
    <row r="1361" spans="1:7" ht="15.75" thickBot="1" x14ac:dyDescent="0.3">
      <c r="A1361" s="15">
        <f t="shared" si="13"/>
        <v>44671</v>
      </c>
      <c r="B1361" s="72">
        <v>0.44312499999999999</v>
      </c>
      <c r="C1361" s="157">
        <v>113.95</v>
      </c>
      <c r="F1361" s="385"/>
      <c r="G1361" s="386"/>
    </row>
    <row r="1362" spans="1:7" ht="15.75" thickBot="1" x14ac:dyDescent="0.3">
      <c r="A1362" s="15">
        <f t="shared" si="13"/>
        <v>44672</v>
      </c>
      <c r="B1362" s="72">
        <v>0.44374999999999998</v>
      </c>
      <c r="C1362" s="157">
        <v>114.11</v>
      </c>
      <c r="F1362" s="385"/>
      <c r="G1362" s="386"/>
    </row>
    <row r="1363" spans="1:7" ht="15.75" thickBot="1" x14ac:dyDescent="0.3">
      <c r="A1363" s="15">
        <f t="shared" si="13"/>
        <v>44673</v>
      </c>
      <c r="B1363" s="72">
        <v>0.44312499999999999</v>
      </c>
      <c r="C1363" s="157">
        <v>114.25</v>
      </c>
      <c r="F1363" s="385"/>
      <c r="G1363" s="386"/>
    </row>
    <row r="1364" spans="1:7" ht="15.75" thickBot="1" x14ac:dyDescent="0.3">
      <c r="A1364" s="15">
        <f t="shared" si="13"/>
        <v>44676</v>
      </c>
      <c r="B1364" s="72">
        <v>0.44437500000000002</v>
      </c>
      <c r="C1364" s="157">
        <v>114.7</v>
      </c>
      <c r="F1364" s="385"/>
      <c r="G1364" s="386"/>
    </row>
    <row r="1365" spans="1:7" ht="15.75" thickBot="1" x14ac:dyDescent="0.3">
      <c r="A1365" s="15">
        <f t="shared" si="13"/>
        <v>44677</v>
      </c>
      <c r="B1365" s="72">
        <v>0.44624999999999998</v>
      </c>
      <c r="C1365" s="157">
        <v>114.84</v>
      </c>
      <c r="F1365" s="385"/>
      <c r="G1365" s="386"/>
    </row>
    <row r="1366" spans="1:7" ht="15.75" thickBot="1" x14ac:dyDescent="0.3">
      <c r="A1366" s="15">
        <f t="shared" si="13"/>
        <v>44678</v>
      </c>
      <c r="B1366" s="72">
        <v>0.44562499999999999</v>
      </c>
      <c r="C1366" s="157">
        <v>115.01</v>
      </c>
      <c r="F1366" s="385"/>
      <c r="G1366" s="386"/>
    </row>
    <row r="1367" spans="1:7" ht="15.75" thickBot="1" x14ac:dyDescent="0.3">
      <c r="A1367" s="15">
        <f t="shared" si="13"/>
        <v>44679</v>
      </c>
      <c r="B1367" s="72">
        <v>0.44500000000000001</v>
      </c>
      <c r="C1367" s="157">
        <v>115.17</v>
      </c>
      <c r="F1367" s="385"/>
      <c r="G1367" s="386"/>
    </row>
    <row r="1368" spans="1:7" ht="15.75" thickBot="1" x14ac:dyDescent="0.3">
      <c r="A1368" s="15">
        <f t="shared" si="13"/>
        <v>44680</v>
      </c>
      <c r="B1368" s="72">
        <v>0.44374999999999998</v>
      </c>
      <c r="C1368" s="157">
        <v>115.31</v>
      </c>
      <c r="F1368" s="385"/>
      <c r="G1368" s="386"/>
    </row>
    <row r="1369" spans="1:7" ht="15.75" thickBot="1" x14ac:dyDescent="0.3">
      <c r="A1369" s="15">
        <f t="shared" si="13"/>
        <v>44683</v>
      </c>
      <c r="B1369" s="72">
        <v>0.44624999999999998</v>
      </c>
      <c r="C1369" s="157">
        <v>115.75</v>
      </c>
      <c r="F1369" s="385"/>
      <c r="G1369" s="386"/>
    </row>
    <row r="1370" spans="1:7" ht="15.75" thickBot="1" x14ac:dyDescent="0.3">
      <c r="A1370" s="15">
        <f t="shared" si="13"/>
        <v>44684</v>
      </c>
      <c r="B1370" s="72">
        <v>0.44437500000000002</v>
      </c>
      <c r="C1370" s="157">
        <v>115.88</v>
      </c>
      <c r="F1370" s="385"/>
      <c r="G1370" s="386"/>
    </row>
    <row r="1371" spans="1:7" ht="15.75" thickBot="1" x14ac:dyDescent="0.3">
      <c r="A1371" s="15">
        <f t="shared" si="13"/>
        <v>44685</v>
      </c>
      <c r="B1371" s="72">
        <v>0.44437500000000002</v>
      </c>
      <c r="C1371" s="157">
        <v>116.02</v>
      </c>
      <c r="F1371" s="385"/>
      <c r="G1371" s="386"/>
    </row>
    <row r="1372" spans="1:7" ht="15.75" thickBot="1" x14ac:dyDescent="0.3">
      <c r="A1372" s="15">
        <f t="shared" si="13"/>
        <v>44686</v>
      </c>
      <c r="B1372" s="72">
        <v>0.44624999999999998</v>
      </c>
      <c r="C1372" s="157">
        <v>116.16</v>
      </c>
      <c r="F1372" s="385"/>
      <c r="G1372" s="386"/>
    </row>
    <row r="1373" spans="1:7" ht="15.75" thickBot="1" x14ac:dyDescent="0.3">
      <c r="A1373" s="15">
        <f t="shared" si="13"/>
        <v>44687</v>
      </c>
      <c r="B1373" s="72">
        <v>0.44562499999999999</v>
      </c>
      <c r="C1373" s="157">
        <v>116.31</v>
      </c>
      <c r="F1373" s="385"/>
      <c r="G1373" s="386"/>
    </row>
    <row r="1374" spans="1:7" ht="15.75" thickBot="1" x14ac:dyDescent="0.3">
      <c r="A1374" s="15">
        <f t="shared" si="13"/>
        <v>44690</v>
      </c>
      <c r="B1374" s="72">
        <v>0.44624999999999998</v>
      </c>
      <c r="C1374" s="157">
        <v>116.76</v>
      </c>
      <c r="F1374" s="385"/>
      <c r="G1374" s="386"/>
    </row>
    <row r="1375" spans="1:7" ht="15.75" thickBot="1" x14ac:dyDescent="0.3">
      <c r="A1375" s="15">
        <f t="shared" si="13"/>
        <v>44691</v>
      </c>
      <c r="B1375" s="72">
        <v>0.44374999999999998</v>
      </c>
      <c r="C1375" s="157">
        <v>116.92</v>
      </c>
      <c r="F1375" s="385"/>
      <c r="G1375" s="386"/>
    </row>
    <row r="1376" spans="1:7" ht="15.75" thickBot="1" x14ac:dyDescent="0.3">
      <c r="A1376" s="15">
        <f t="shared" si="13"/>
        <v>44692</v>
      </c>
      <c r="B1376" s="72">
        <v>0.44624999999999998</v>
      </c>
      <c r="C1376" s="157">
        <v>117.09</v>
      </c>
      <c r="F1376" s="385"/>
      <c r="G1376" s="386"/>
    </row>
    <row r="1377" spans="1:7" ht="15.75" thickBot="1" x14ac:dyDescent="0.3">
      <c r="A1377" s="15">
        <f t="shared" si="13"/>
        <v>44693</v>
      </c>
      <c r="B1377" s="72">
        <v>0.44562499999999999</v>
      </c>
      <c r="C1377" s="157">
        <v>117.25</v>
      </c>
      <c r="F1377" s="385"/>
      <c r="G1377" s="386"/>
    </row>
    <row r="1378" spans="1:7" ht="15.75" thickBot="1" x14ac:dyDescent="0.3">
      <c r="A1378" s="15">
        <f t="shared" si="13"/>
        <v>44694</v>
      </c>
      <c r="B1378" s="72">
        <v>0.46375</v>
      </c>
      <c r="C1378" s="157">
        <v>117.41</v>
      </c>
      <c r="F1378" s="385"/>
      <c r="G1378" s="386"/>
    </row>
    <row r="1379" spans="1:7" ht="15.75" thickBot="1" x14ac:dyDescent="0.3">
      <c r="A1379" s="15">
        <f t="shared" si="13"/>
        <v>44697</v>
      </c>
      <c r="B1379" s="72">
        <v>0.45687499999999998</v>
      </c>
      <c r="C1379" s="157">
        <v>117.87</v>
      </c>
      <c r="F1379" s="385"/>
      <c r="G1379" s="386"/>
    </row>
    <row r="1380" spans="1:7" ht="15.75" thickBot="1" x14ac:dyDescent="0.3">
      <c r="A1380" s="15">
        <f t="shared" si="13"/>
        <v>44698</v>
      </c>
      <c r="B1380" s="72">
        <v>0.46500000000000002</v>
      </c>
      <c r="C1380" s="157">
        <v>118.04</v>
      </c>
      <c r="F1380" s="385"/>
      <c r="G1380" s="386"/>
    </row>
    <row r="1381" spans="1:7" ht="15.75" thickBot="1" x14ac:dyDescent="0.3">
      <c r="A1381" s="15">
        <f t="shared" si="13"/>
        <v>44699</v>
      </c>
      <c r="B1381" s="72">
        <v>0.46500000000000002</v>
      </c>
      <c r="C1381" s="157">
        <v>118.04</v>
      </c>
      <c r="F1381" s="385"/>
      <c r="G1381" s="386"/>
    </row>
    <row r="1382" spans="1:7" ht="15.75" thickBot="1" x14ac:dyDescent="0.3">
      <c r="A1382" s="15">
        <f t="shared" si="13"/>
        <v>44700</v>
      </c>
      <c r="B1382" s="72">
        <v>0.46562500000000001</v>
      </c>
      <c r="C1382" s="157">
        <v>118.36</v>
      </c>
      <c r="F1382" s="385"/>
      <c r="G1382" s="386"/>
    </row>
    <row r="1383" spans="1:7" ht="15.75" thickBot="1" x14ac:dyDescent="0.3">
      <c r="A1383" s="15">
        <f t="shared" si="13"/>
        <v>44701</v>
      </c>
      <c r="B1383" s="72">
        <v>0.46375</v>
      </c>
      <c r="C1383" s="157">
        <v>118.49</v>
      </c>
      <c r="F1383" s="385"/>
      <c r="G1383" s="386"/>
    </row>
    <row r="1384" spans="1:7" ht="15.75" thickBot="1" x14ac:dyDescent="0.3">
      <c r="A1384" s="15">
        <f t="shared" si="13"/>
        <v>44704</v>
      </c>
      <c r="B1384" s="72">
        <v>0.46437499999999998</v>
      </c>
      <c r="C1384" s="157">
        <v>118.95</v>
      </c>
      <c r="F1384" s="385"/>
      <c r="G1384" s="386"/>
    </row>
    <row r="1385" spans="1:7" ht="15.75" thickBot="1" x14ac:dyDescent="0.3">
      <c r="A1385" s="15">
        <f t="shared" si="13"/>
        <v>44705</v>
      </c>
      <c r="B1385" s="72">
        <v>0.46375</v>
      </c>
      <c r="C1385" s="157">
        <v>119.1</v>
      </c>
      <c r="F1385" s="385"/>
      <c r="G1385" s="386"/>
    </row>
    <row r="1386" spans="1:7" ht="15.75" thickBot="1" x14ac:dyDescent="0.3">
      <c r="A1386" s="15">
        <f t="shared" si="13"/>
        <v>44706</v>
      </c>
      <c r="B1386" s="72">
        <v>0.46375</v>
      </c>
      <c r="C1386" s="157">
        <v>119.1</v>
      </c>
      <c r="F1386" s="385"/>
      <c r="G1386" s="386"/>
    </row>
    <row r="1387" spans="1:7" ht="15.75" thickBot="1" x14ac:dyDescent="0.3">
      <c r="A1387" s="15">
        <f t="shared" si="13"/>
        <v>44707</v>
      </c>
      <c r="B1387" s="72">
        <v>0.46500000000000002</v>
      </c>
      <c r="C1387" s="157">
        <v>119.42</v>
      </c>
      <c r="F1387" s="385"/>
      <c r="G1387" s="386"/>
    </row>
    <row r="1388" spans="1:7" ht="15.75" thickBot="1" x14ac:dyDescent="0.3">
      <c r="A1388" s="15">
        <f t="shared" si="13"/>
        <v>44708</v>
      </c>
      <c r="B1388" s="72">
        <v>0.46437499999999998</v>
      </c>
      <c r="C1388" s="157">
        <v>119.56</v>
      </c>
      <c r="F1388" s="385"/>
      <c r="G1388" s="386"/>
    </row>
    <row r="1389" spans="1:7" ht="15.75" thickBot="1" x14ac:dyDescent="0.3">
      <c r="A1389" s="15">
        <f t="shared" si="13"/>
        <v>44711</v>
      </c>
      <c r="B1389" s="72">
        <v>0.46500000000000002</v>
      </c>
      <c r="C1389" s="157">
        <v>120.01</v>
      </c>
      <c r="F1389" s="385"/>
      <c r="G1389" s="386"/>
    </row>
    <row r="1390" spans="1:7" ht="15.75" thickBot="1" x14ac:dyDescent="0.3">
      <c r="A1390" s="15">
        <f t="shared" si="13"/>
        <v>44712</v>
      </c>
      <c r="B1390" s="72">
        <v>0.458125</v>
      </c>
      <c r="C1390" s="157">
        <v>120.16</v>
      </c>
      <c r="F1390" s="385"/>
      <c r="G1390" s="386"/>
    </row>
    <row r="1391" spans="1:7" ht="15.75" thickBot="1" x14ac:dyDescent="0.3">
      <c r="A1391" s="15">
        <f t="shared" si="13"/>
        <v>44713</v>
      </c>
      <c r="B1391" s="72">
        <v>0.46687499999999998</v>
      </c>
      <c r="C1391" s="157">
        <v>120.33</v>
      </c>
      <c r="F1391" s="385"/>
      <c r="G1391" s="386"/>
    </row>
    <row r="1392" spans="1:7" ht="15.75" thickBot="1" x14ac:dyDescent="0.3">
      <c r="A1392" s="15">
        <f t="shared" si="13"/>
        <v>44714</v>
      </c>
      <c r="B1392" s="72">
        <v>0.46500000000000002</v>
      </c>
      <c r="C1392" s="157">
        <v>120.47</v>
      </c>
      <c r="F1392" s="385"/>
      <c r="G1392" s="386"/>
    </row>
    <row r="1393" spans="1:7" ht="15.75" thickBot="1" x14ac:dyDescent="0.3">
      <c r="A1393" s="15">
        <f t="shared" si="13"/>
        <v>44715</v>
      </c>
      <c r="B1393" s="72">
        <v>0.46437499999999998</v>
      </c>
      <c r="C1393" s="157">
        <v>120.63</v>
      </c>
      <c r="F1393" s="385"/>
      <c r="G1393" s="386"/>
    </row>
    <row r="1394" spans="1:7" ht="15.75" thickBot="1" x14ac:dyDescent="0.3">
      <c r="A1394" s="15">
        <f t="shared" si="13"/>
        <v>44718</v>
      </c>
      <c r="B1394" s="72">
        <v>0.46625</v>
      </c>
      <c r="C1394" s="157">
        <v>121.11</v>
      </c>
      <c r="F1394" s="385"/>
      <c r="G1394" s="386"/>
    </row>
    <row r="1395" spans="1:7" ht="15.75" thickBot="1" x14ac:dyDescent="0.3">
      <c r="A1395" s="15">
        <f t="shared" si="13"/>
        <v>44719</v>
      </c>
      <c r="B1395" s="72">
        <v>0.46562500000000001</v>
      </c>
      <c r="C1395" s="157">
        <v>121.28</v>
      </c>
      <c r="F1395" s="385"/>
      <c r="G1395" s="386"/>
    </row>
    <row r="1396" spans="1:7" ht="15.75" thickBot="1" x14ac:dyDescent="0.3">
      <c r="A1396" s="15">
        <f t="shared" si="13"/>
        <v>44720</v>
      </c>
      <c r="B1396" s="72">
        <v>0.46625</v>
      </c>
      <c r="C1396" s="157">
        <v>121.46</v>
      </c>
      <c r="F1396" s="385"/>
      <c r="G1396" s="386"/>
    </row>
    <row r="1397" spans="1:7" ht="15.75" thickBot="1" x14ac:dyDescent="0.3">
      <c r="A1397" s="15">
        <f t="shared" si="13"/>
        <v>44721</v>
      </c>
      <c r="B1397" s="72">
        <v>0.46500000000000002</v>
      </c>
      <c r="C1397" s="157">
        <v>121.63</v>
      </c>
      <c r="F1397" s="385"/>
      <c r="G1397" s="386"/>
    </row>
    <row r="1398" spans="1:7" ht="15.75" thickBot="1" x14ac:dyDescent="0.3">
      <c r="A1398" s="15">
        <f t="shared" si="13"/>
        <v>44722</v>
      </c>
      <c r="B1398" s="72">
        <v>0.46562500000000001</v>
      </c>
      <c r="C1398" s="157">
        <v>121.79</v>
      </c>
      <c r="F1398" s="385"/>
      <c r="G1398" s="386"/>
    </row>
    <row r="1399" spans="1:7" ht="15.75" thickBot="1" x14ac:dyDescent="0.3">
      <c r="A1399" s="15">
        <f t="shared" si="13"/>
        <v>44725</v>
      </c>
      <c r="B1399" s="72">
        <v>0.46625</v>
      </c>
      <c r="C1399" s="157">
        <v>122.3</v>
      </c>
      <c r="F1399" s="385"/>
      <c r="G1399" s="386"/>
    </row>
    <row r="1400" spans="1:7" ht="15.75" thickBot="1" x14ac:dyDescent="0.3">
      <c r="A1400" s="15">
        <f t="shared" si="13"/>
        <v>44726</v>
      </c>
      <c r="B1400" s="72">
        <v>0.46312500000000001</v>
      </c>
      <c r="C1400" s="157">
        <v>122.48</v>
      </c>
      <c r="F1400" s="385"/>
      <c r="G1400" s="386"/>
    </row>
    <row r="1401" spans="1:7" ht="15.75" thickBot="1" x14ac:dyDescent="0.3">
      <c r="A1401" s="15">
        <f t="shared" si="13"/>
        <v>44727</v>
      </c>
      <c r="B1401" s="72">
        <v>0.46500000000000002</v>
      </c>
      <c r="C1401" s="157">
        <v>122.69</v>
      </c>
      <c r="F1401" s="385"/>
      <c r="G1401" s="386"/>
    </row>
    <row r="1402" spans="1:7" ht="15.75" thickBot="1" x14ac:dyDescent="0.3">
      <c r="A1402" s="15">
        <f t="shared" si="13"/>
        <v>44728</v>
      </c>
      <c r="B1402" s="72">
        <v>0.46687499999999998</v>
      </c>
      <c r="C1402" s="157">
        <v>122.9</v>
      </c>
      <c r="F1402" s="385"/>
      <c r="G1402" s="386"/>
    </row>
    <row r="1403" spans="1:7" ht="15.75" thickBot="1" x14ac:dyDescent="0.3">
      <c r="A1403" s="15">
        <f t="shared" si="13"/>
        <v>44729</v>
      </c>
      <c r="B1403" s="72">
        <v>0.46687499999999998</v>
      </c>
      <c r="C1403" s="157">
        <v>122.9</v>
      </c>
      <c r="F1403" s="385"/>
      <c r="G1403" s="386"/>
    </row>
    <row r="1404" spans="1:7" ht="15.75" thickBot="1" x14ac:dyDescent="0.3">
      <c r="A1404" s="15">
        <f t="shared" ref="A1404:A1467" si="15">+WORKDAY.INTL(A1403,1,1,)</f>
        <v>44732</v>
      </c>
      <c r="B1404" s="72">
        <v>0.46687499999999998</v>
      </c>
      <c r="C1404" s="157">
        <v>122.9</v>
      </c>
      <c r="F1404" s="385"/>
      <c r="G1404" s="386"/>
    </row>
    <row r="1405" spans="1:7" ht="15.75" thickBot="1" x14ac:dyDescent="0.3">
      <c r="A1405" s="15">
        <f t="shared" si="15"/>
        <v>44733</v>
      </c>
      <c r="B1405" s="72">
        <v>0.50812500000000005</v>
      </c>
      <c r="C1405" s="157">
        <v>123.69</v>
      </c>
      <c r="F1405" s="385"/>
      <c r="G1405" s="386"/>
    </row>
    <row r="1406" spans="1:7" ht="15.75" thickBot="1" x14ac:dyDescent="0.3">
      <c r="A1406" s="15">
        <f t="shared" si="15"/>
        <v>44734</v>
      </c>
      <c r="B1406" s="72">
        <v>0.50687499999999996</v>
      </c>
      <c r="C1406" s="157">
        <v>123.86</v>
      </c>
      <c r="F1406" s="385"/>
      <c r="G1406" s="386"/>
    </row>
    <row r="1407" spans="1:7" ht="15.75" thickBot="1" x14ac:dyDescent="0.3">
      <c r="A1407" s="15">
        <f t="shared" si="15"/>
        <v>44735</v>
      </c>
      <c r="B1407" s="72">
        <v>0.50749999999999995</v>
      </c>
      <c r="C1407" s="157">
        <v>124.03</v>
      </c>
      <c r="F1407" s="385"/>
      <c r="G1407" s="386"/>
    </row>
    <row r="1408" spans="1:7" ht="15.75" thickBot="1" x14ac:dyDescent="0.3">
      <c r="A1408" s="15">
        <f t="shared" si="15"/>
        <v>44736</v>
      </c>
      <c r="B1408" s="72">
        <v>0.505</v>
      </c>
      <c r="C1408" s="157">
        <v>124.26</v>
      </c>
      <c r="F1408" s="385"/>
      <c r="G1408" s="386"/>
    </row>
    <row r="1409" spans="1:7" ht="15.75" thickBot="1" x14ac:dyDescent="0.3">
      <c r="A1409" s="15">
        <f t="shared" si="15"/>
        <v>44739</v>
      </c>
      <c r="B1409" s="72">
        <v>0.50812500000000005</v>
      </c>
      <c r="C1409" s="157">
        <v>124.71</v>
      </c>
      <c r="F1409" s="385"/>
      <c r="G1409" s="386"/>
    </row>
    <row r="1410" spans="1:7" ht="15.75" thickBot="1" x14ac:dyDescent="0.3">
      <c r="A1410" s="15">
        <f t="shared" si="15"/>
        <v>44740</v>
      </c>
      <c r="B1410" s="72">
        <v>0.50562499999999999</v>
      </c>
      <c r="C1410" s="157">
        <v>124.88</v>
      </c>
      <c r="F1410" s="385"/>
      <c r="G1410" s="386"/>
    </row>
    <row r="1411" spans="1:7" ht="15.75" thickBot="1" x14ac:dyDescent="0.3">
      <c r="A1411" s="15">
        <f t="shared" si="15"/>
        <v>44741</v>
      </c>
      <c r="B1411" s="72">
        <v>0.50749999999999995</v>
      </c>
      <c r="C1411" s="157">
        <v>125.05</v>
      </c>
      <c r="F1411" s="385"/>
      <c r="G1411" s="386"/>
    </row>
    <row r="1412" spans="1:7" ht="15.75" thickBot="1" x14ac:dyDescent="0.3">
      <c r="A1412" s="15">
        <f t="shared" si="15"/>
        <v>44742</v>
      </c>
      <c r="B1412" s="72">
        <v>0.50624999999999998</v>
      </c>
      <c r="C1412" s="157">
        <v>125.22</v>
      </c>
      <c r="F1412" s="396"/>
      <c r="G1412" s="397"/>
    </row>
    <row r="1413" spans="1:7" x14ac:dyDescent="0.25">
      <c r="A1413" s="15">
        <f t="shared" si="15"/>
        <v>44743</v>
      </c>
      <c r="B1413" s="72">
        <v>0.50937500000000002</v>
      </c>
      <c r="C1413" s="157">
        <v>125.41</v>
      </c>
    </row>
    <row r="1414" spans="1:7" x14ac:dyDescent="0.25">
      <c r="A1414" s="15">
        <f t="shared" si="15"/>
        <v>44746</v>
      </c>
      <c r="B1414" s="72">
        <v>0.50875000000000004</v>
      </c>
      <c r="C1414" s="157">
        <v>125.99</v>
      </c>
    </row>
    <row r="1415" spans="1:7" x14ac:dyDescent="0.25">
      <c r="A1415" s="15">
        <f t="shared" si="15"/>
        <v>44747</v>
      </c>
      <c r="B1415" s="72">
        <v>0.50749999999999995</v>
      </c>
      <c r="C1415" s="157">
        <v>126.18</v>
      </c>
    </row>
    <row r="1416" spans="1:7" x14ac:dyDescent="0.25">
      <c r="A1416" s="15">
        <f t="shared" si="15"/>
        <v>44748</v>
      </c>
      <c r="B1416" s="72">
        <v>0.510625</v>
      </c>
      <c r="C1416" s="157">
        <v>126.38</v>
      </c>
    </row>
    <row r="1417" spans="1:7" x14ac:dyDescent="0.25">
      <c r="A1417" s="15">
        <f t="shared" si="15"/>
        <v>44749</v>
      </c>
      <c r="B1417" s="72">
        <v>0.50812500000000005</v>
      </c>
      <c r="C1417" s="157">
        <v>126.57</v>
      </c>
      <c r="D1417" s="17"/>
      <c r="E1417" s="414"/>
    </row>
    <row r="1418" spans="1:7" x14ac:dyDescent="0.25">
      <c r="A1418" s="15">
        <f>+WORKDAY.INTL(A1417,1,1,)</f>
        <v>44750</v>
      </c>
      <c r="B1418" s="72">
        <v>0.51</v>
      </c>
      <c r="C1418" s="157">
        <v>126.78</v>
      </c>
      <c r="D1418" s="17"/>
      <c r="E1418" s="414"/>
    </row>
    <row r="1419" spans="1:7" x14ac:dyDescent="0.25">
      <c r="A1419" s="15">
        <f t="shared" si="15"/>
        <v>44753</v>
      </c>
      <c r="B1419" s="72">
        <v>0.51</v>
      </c>
      <c r="C1419" s="157">
        <v>127.37</v>
      </c>
      <c r="D1419" s="17"/>
      <c r="E1419" s="414"/>
    </row>
    <row r="1420" spans="1:7" x14ac:dyDescent="0.25">
      <c r="A1420" s="15">
        <f t="shared" si="15"/>
        <v>44754</v>
      </c>
      <c r="B1420" s="72">
        <v>0.50749999999999995</v>
      </c>
      <c r="C1420" s="157">
        <v>127.57</v>
      </c>
      <c r="D1420" s="17"/>
      <c r="E1420" s="414"/>
    </row>
    <row r="1421" spans="1:7" x14ac:dyDescent="0.25">
      <c r="A1421" s="15">
        <f t="shared" si="15"/>
        <v>44755</v>
      </c>
      <c r="B1421" s="72">
        <v>0.50875000000000004</v>
      </c>
      <c r="C1421" s="157">
        <v>127.79</v>
      </c>
      <c r="D1421" s="17"/>
      <c r="E1421" s="414"/>
    </row>
    <row r="1422" spans="1:7" x14ac:dyDescent="0.25">
      <c r="A1422" s="15">
        <f t="shared" si="15"/>
        <v>44756</v>
      </c>
      <c r="B1422" s="72">
        <v>0.51</v>
      </c>
      <c r="C1422" s="157">
        <v>128.02000000000001</v>
      </c>
      <c r="D1422" s="17"/>
      <c r="E1422" s="414"/>
    </row>
    <row r="1423" spans="1:7" x14ac:dyDescent="0.25">
      <c r="A1423" s="15">
        <f t="shared" si="15"/>
        <v>44757</v>
      </c>
      <c r="B1423" s="72">
        <v>0.50875000000000004</v>
      </c>
      <c r="C1423" s="157">
        <v>128.22999999999999</v>
      </c>
      <c r="D1423" s="17"/>
      <c r="E1423" s="414"/>
    </row>
    <row r="1424" spans="1:7" x14ac:dyDescent="0.25">
      <c r="A1424" s="15">
        <f t="shared" si="15"/>
        <v>44760</v>
      </c>
      <c r="B1424" s="72">
        <v>0.50812500000000005</v>
      </c>
      <c r="C1424" s="157">
        <v>128.9</v>
      </c>
      <c r="D1424" s="17"/>
      <c r="E1424" s="414"/>
    </row>
    <row r="1425" spans="1:5" x14ac:dyDescent="0.25">
      <c r="A1425" s="15">
        <f t="shared" si="15"/>
        <v>44761</v>
      </c>
      <c r="B1425" s="72">
        <v>0.50749999999999995</v>
      </c>
      <c r="C1425" s="157">
        <v>129.13</v>
      </c>
      <c r="D1425" s="17"/>
      <c r="E1425" s="414"/>
    </row>
    <row r="1426" spans="1:5" x14ac:dyDescent="0.25">
      <c r="A1426" s="15">
        <f t="shared" si="15"/>
        <v>44762</v>
      </c>
      <c r="B1426" s="72">
        <v>0.50562499999999999</v>
      </c>
      <c r="C1426" s="157">
        <v>129.38999999999999</v>
      </c>
      <c r="D1426" s="17"/>
      <c r="E1426" s="414"/>
    </row>
    <row r="1427" spans="1:5" x14ac:dyDescent="0.25">
      <c r="A1427" s="15">
        <f t="shared" si="15"/>
        <v>44763</v>
      </c>
      <c r="B1427" s="72">
        <v>0.51</v>
      </c>
      <c r="C1427" s="157">
        <v>129.61000000000001</v>
      </c>
      <c r="D1427" s="17"/>
      <c r="E1427" s="414"/>
    </row>
    <row r="1428" spans="1:5" x14ac:dyDescent="0.25">
      <c r="A1428" s="15">
        <f t="shared" si="15"/>
        <v>44764</v>
      </c>
      <c r="B1428" s="72">
        <v>0.50749999999999995</v>
      </c>
      <c r="C1428" s="157">
        <v>129.76</v>
      </c>
      <c r="D1428" s="17"/>
      <c r="E1428" s="414"/>
    </row>
    <row r="1429" spans="1:5" x14ac:dyDescent="0.25">
      <c r="A1429" s="15">
        <f t="shared" si="15"/>
        <v>44767</v>
      </c>
      <c r="B1429" s="72">
        <v>0.50687499999999996</v>
      </c>
      <c r="C1429" s="157">
        <v>130.4</v>
      </c>
      <c r="D1429" s="17"/>
      <c r="E1429" s="414"/>
    </row>
    <row r="1430" spans="1:5" x14ac:dyDescent="0.25">
      <c r="A1430" s="15">
        <f t="shared" si="15"/>
        <v>44768</v>
      </c>
      <c r="B1430" s="72">
        <v>0.505</v>
      </c>
      <c r="C1430" s="157">
        <v>130.62</v>
      </c>
      <c r="D1430" s="17"/>
      <c r="E1430" s="414"/>
    </row>
    <row r="1431" spans="1:5" x14ac:dyDescent="0.25">
      <c r="A1431" s="15">
        <f t="shared" si="15"/>
        <v>44769</v>
      </c>
      <c r="B1431" s="72">
        <v>0.50875000000000004</v>
      </c>
      <c r="C1431" s="157">
        <v>130.88999999999999</v>
      </c>
      <c r="D1431" s="17"/>
      <c r="E1431" s="414"/>
    </row>
    <row r="1432" spans="1:5" x14ac:dyDescent="0.25">
      <c r="A1432" s="15">
        <f t="shared" si="15"/>
        <v>44770</v>
      </c>
      <c r="B1432" s="72">
        <v>0.51</v>
      </c>
      <c r="C1432" s="157">
        <v>131.13</v>
      </c>
      <c r="D1432" s="17"/>
      <c r="E1432" s="414"/>
    </row>
    <row r="1433" spans="1:5" x14ac:dyDescent="0.25">
      <c r="A1433" s="15">
        <f t="shared" si="15"/>
        <v>44771</v>
      </c>
      <c r="B1433" s="72">
        <v>0.55625000000000002</v>
      </c>
      <c r="C1433" s="157">
        <v>131.22999999999999</v>
      </c>
      <c r="D1433" s="17"/>
      <c r="E1433" s="414"/>
    </row>
    <row r="1434" spans="1:5" x14ac:dyDescent="0.25">
      <c r="A1434" s="15">
        <f t="shared" si="15"/>
        <v>44774</v>
      </c>
      <c r="B1434" s="72">
        <v>0.56499999999999995</v>
      </c>
      <c r="C1434" s="157">
        <v>131.94</v>
      </c>
      <c r="D1434" s="17"/>
      <c r="E1434" s="414"/>
    </row>
    <row r="1435" spans="1:5" x14ac:dyDescent="0.25">
      <c r="A1435" s="15">
        <f t="shared" si="15"/>
        <v>44775</v>
      </c>
      <c r="B1435" s="72">
        <v>0.55374999999999996</v>
      </c>
      <c r="C1435" s="157">
        <v>132.18</v>
      </c>
      <c r="D1435" s="17"/>
      <c r="E1435" s="414"/>
    </row>
    <row r="1436" spans="1:5" x14ac:dyDescent="0.25">
      <c r="A1436" s="15">
        <f t="shared" si="15"/>
        <v>44776</v>
      </c>
      <c r="B1436" s="72">
        <v>0.56374999999999997</v>
      </c>
      <c r="C1436" s="157">
        <v>132.41</v>
      </c>
      <c r="D1436" s="17"/>
      <c r="E1436" s="414"/>
    </row>
    <row r="1437" spans="1:5" x14ac:dyDescent="0.25">
      <c r="A1437" s="15">
        <f t="shared" si="15"/>
        <v>44777</v>
      </c>
      <c r="B1437" s="72">
        <v>0.56187500000000001</v>
      </c>
      <c r="C1437" s="157">
        <v>132.63999999999999</v>
      </c>
      <c r="D1437" s="17"/>
      <c r="E1437" s="414"/>
    </row>
    <row r="1438" spans="1:5" x14ac:dyDescent="0.25">
      <c r="A1438" s="15">
        <f t="shared" si="15"/>
        <v>44778</v>
      </c>
      <c r="B1438" s="72">
        <v>0.56312499999999999</v>
      </c>
      <c r="C1438" s="157">
        <v>132.88999999999999</v>
      </c>
      <c r="D1438" s="17"/>
      <c r="E1438" s="414"/>
    </row>
    <row r="1439" spans="1:5" x14ac:dyDescent="0.25">
      <c r="A1439" s="15">
        <f t="shared" si="15"/>
        <v>44781</v>
      </c>
      <c r="B1439" s="72">
        <v>0.56562500000000004</v>
      </c>
      <c r="C1439" s="157">
        <v>133.56</v>
      </c>
      <c r="D1439" s="17"/>
      <c r="E1439" s="414"/>
    </row>
    <row r="1440" spans="1:5" x14ac:dyDescent="0.25">
      <c r="A1440" s="15">
        <f t="shared" si="15"/>
        <v>44782</v>
      </c>
      <c r="B1440" s="72">
        <v>0.5575</v>
      </c>
      <c r="C1440" s="157">
        <v>133.80000000000001</v>
      </c>
      <c r="D1440" s="17"/>
      <c r="E1440" s="414"/>
    </row>
    <row r="1441" spans="1:5" x14ac:dyDescent="0.25">
      <c r="A1441" s="15">
        <f t="shared" si="15"/>
        <v>44783</v>
      </c>
      <c r="B1441" s="72">
        <v>0.56187500000000001</v>
      </c>
      <c r="C1441" s="157">
        <v>134.04</v>
      </c>
      <c r="D1441" s="17"/>
      <c r="E1441" s="414"/>
    </row>
    <row r="1442" spans="1:5" x14ac:dyDescent="0.25">
      <c r="A1442" s="15">
        <f t="shared" si="15"/>
        <v>44784</v>
      </c>
      <c r="B1442" s="72">
        <v>0.56562500000000004</v>
      </c>
      <c r="C1442" s="157">
        <v>134.22999999999999</v>
      </c>
      <c r="D1442" s="17"/>
      <c r="E1442" s="414"/>
    </row>
    <row r="1443" spans="1:5" x14ac:dyDescent="0.25">
      <c r="A1443" s="15">
        <f t="shared" si="15"/>
        <v>44785</v>
      </c>
      <c r="B1443" s="72">
        <v>0.63500000000000001</v>
      </c>
      <c r="C1443" s="157">
        <v>134.52000000000001</v>
      </c>
      <c r="D1443" s="17"/>
      <c r="E1443" s="414"/>
    </row>
    <row r="1444" spans="1:5" x14ac:dyDescent="0.25">
      <c r="A1444" s="15">
        <f t="shared" si="15"/>
        <v>44788</v>
      </c>
      <c r="B1444" s="72">
        <v>0.63500000000000001</v>
      </c>
      <c r="C1444" s="157">
        <v>134.52000000000001</v>
      </c>
      <c r="D1444" s="17"/>
      <c r="E1444" s="414"/>
    </row>
    <row r="1445" spans="1:5" x14ac:dyDescent="0.25">
      <c r="A1445" s="15">
        <f t="shared" si="15"/>
        <v>44789</v>
      </c>
      <c r="B1445" s="72">
        <v>0.63749999999999996</v>
      </c>
      <c r="C1445" s="157">
        <v>135.4</v>
      </c>
      <c r="D1445" s="17"/>
    </row>
    <row r="1446" spans="1:5" x14ac:dyDescent="0.25">
      <c r="A1446" s="15">
        <f t="shared" si="15"/>
        <v>44790</v>
      </c>
      <c r="B1446" s="72">
        <v>0.63500000000000001</v>
      </c>
      <c r="C1446" s="157">
        <v>135.57</v>
      </c>
      <c r="D1446" s="17"/>
      <c r="E1446" s="414"/>
    </row>
    <row r="1447" spans="1:5" x14ac:dyDescent="0.25">
      <c r="A1447" s="15">
        <f t="shared" si="15"/>
        <v>44791</v>
      </c>
      <c r="B1447" s="72">
        <v>0.63375000000000004</v>
      </c>
      <c r="C1447" s="157">
        <v>135.77000000000001</v>
      </c>
      <c r="D1447" s="17"/>
      <c r="E1447" s="414"/>
    </row>
    <row r="1448" spans="1:5" x14ac:dyDescent="0.25">
      <c r="A1448" s="15">
        <f t="shared" si="15"/>
        <v>44792</v>
      </c>
      <c r="B1448" s="72">
        <v>0.62749999999999995</v>
      </c>
      <c r="C1448" s="157">
        <v>136.06</v>
      </c>
      <c r="D1448" s="17"/>
      <c r="E1448" s="414"/>
    </row>
    <row r="1449" spans="1:5" x14ac:dyDescent="0.25">
      <c r="A1449" s="15">
        <f t="shared" si="15"/>
        <v>44795</v>
      </c>
      <c r="B1449" s="72">
        <v>0.64124999999999999</v>
      </c>
      <c r="C1449" s="157">
        <v>136.69</v>
      </c>
      <c r="D1449" s="17"/>
      <c r="E1449" s="414"/>
    </row>
    <row r="1450" spans="1:5" x14ac:dyDescent="0.25">
      <c r="A1450" s="15">
        <f t="shared" si="15"/>
        <v>44796</v>
      </c>
      <c r="B1450" s="72">
        <v>0.63062499999999999</v>
      </c>
      <c r="C1450" s="157">
        <v>136.9</v>
      </c>
      <c r="D1450" s="17"/>
      <c r="E1450" s="414"/>
    </row>
    <row r="1451" spans="1:5" x14ac:dyDescent="0.25">
      <c r="A1451" s="15">
        <f t="shared" si="15"/>
        <v>44797</v>
      </c>
      <c r="B1451" s="72">
        <v>0.63375000000000004</v>
      </c>
      <c r="C1451" s="157">
        <v>137.15</v>
      </c>
      <c r="D1451" s="17"/>
      <c r="E1451" s="414"/>
    </row>
    <row r="1452" spans="1:5" x14ac:dyDescent="0.25">
      <c r="A1452" s="15">
        <f t="shared" si="15"/>
        <v>44798</v>
      </c>
      <c r="B1452" s="72">
        <v>0.63312500000000005</v>
      </c>
      <c r="C1452" s="157">
        <v>137.38999999999999</v>
      </c>
      <c r="D1452" s="17"/>
      <c r="E1452" s="414"/>
    </row>
    <row r="1453" spans="1:5" x14ac:dyDescent="0.25">
      <c r="A1453" s="15">
        <f t="shared" si="15"/>
        <v>44799</v>
      </c>
      <c r="B1453" s="72">
        <v>0.63437500000000002</v>
      </c>
      <c r="C1453" s="157">
        <v>137.65</v>
      </c>
      <c r="D1453" s="17"/>
      <c r="E1453" s="414"/>
    </row>
    <row r="1454" spans="1:5" x14ac:dyDescent="0.25">
      <c r="A1454" s="15">
        <f t="shared" si="15"/>
        <v>44802</v>
      </c>
      <c r="B1454" s="72">
        <v>0.63624999999999998</v>
      </c>
      <c r="C1454" s="157">
        <v>138.33000000000001</v>
      </c>
      <c r="D1454" s="17"/>
      <c r="E1454" s="414"/>
    </row>
    <row r="1455" spans="1:5" x14ac:dyDescent="0.25">
      <c r="A1455" s="15">
        <f t="shared" si="15"/>
        <v>44803</v>
      </c>
      <c r="B1455" s="72">
        <v>0.63249999999999995</v>
      </c>
      <c r="C1455" s="157">
        <v>138.57</v>
      </c>
      <c r="D1455" s="17"/>
      <c r="E1455" s="414"/>
    </row>
    <row r="1456" spans="1:5" x14ac:dyDescent="0.25">
      <c r="A1456" s="15">
        <f t="shared" si="15"/>
        <v>44804</v>
      </c>
      <c r="B1456" s="72">
        <v>0.63875000000000004</v>
      </c>
      <c r="C1456" s="157">
        <v>138.71</v>
      </c>
      <c r="D1456" s="17"/>
      <c r="E1456" s="414"/>
    </row>
    <row r="1457" spans="1:5" x14ac:dyDescent="0.25">
      <c r="A1457" s="15">
        <f t="shared" si="15"/>
        <v>44805</v>
      </c>
      <c r="B1457" s="72">
        <v>0.64624999999999999</v>
      </c>
      <c r="C1457" s="157">
        <v>139.01</v>
      </c>
      <c r="D1457" s="17"/>
      <c r="E1457" s="414"/>
    </row>
    <row r="1458" spans="1:5" x14ac:dyDescent="0.25">
      <c r="A1458" s="15">
        <f t="shared" si="15"/>
        <v>44806</v>
      </c>
      <c r="B1458" s="72">
        <v>0.64624999999999999</v>
      </c>
      <c r="C1458" s="157">
        <v>139.01</v>
      </c>
      <c r="D1458" s="17"/>
      <c r="E1458" s="414"/>
    </row>
    <row r="1459" spans="1:5" x14ac:dyDescent="0.25">
      <c r="A1459" s="15">
        <f t="shared" si="15"/>
        <v>44809</v>
      </c>
      <c r="B1459" s="72">
        <v>0.64187499999999997</v>
      </c>
      <c r="C1459" s="157">
        <v>140.19999999999999</v>
      </c>
      <c r="D1459" s="17"/>
      <c r="E1459" s="414"/>
    </row>
    <row r="1460" spans="1:5" x14ac:dyDescent="0.25">
      <c r="A1460" s="15">
        <f t="shared" si="15"/>
        <v>44810</v>
      </c>
      <c r="B1460" s="72">
        <v>0.62937500000000002</v>
      </c>
      <c r="C1460" s="157">
        <v>140.58000000000001</v>
      </c>
      <c r="D1460" s="17"/>
    </row>
    <row r="1461" spans="1:5" x14ac:dyDescent="0.25">
      <c r="A1461" s="15">
        <f t="shared" si="15"/>
        <v>44811</v>
      </c>
      <c r="B1461" s="72">
        <v>0.63812500000000005</v>
      </c>
      <c r="C1461" s="157">
        <v>140.82</v>
      </c>
      <c r="D1461" s="17"/>
      <c r="E1461" s="414"/>
    </row>
    <row r="1462" spans="1:5" x14ac:dyDescent="0.25">
      <c r="A1462" s="15">
        <f t="shared" si="15"/>
        <v>44812</v>
      </c>
      <c r="B1462" s="72">
        <v>0.635625</v>
      </c>
      <c r="C1462" s="157">
        <v>141.18</v>
      </c>
      <c r="D1462" s="17"/>
      <c r="E1462" s="414"/>
    </row>
    <row r="1463" spans="1:5" x14ac:dyDescent="0.25">
      <c r="A1463" s="15">
        <f t="shared" si="15"/>
        <v>44813</v>
      </c>
      <c r="B1463" s="72">
        <v>0.63687499999999997</v>
      </c>
      <c r="C1463" s="157">
        <v>141.38</v>
      </c>
      <c r="D1463" s="17"/>
      <c r="E1463" s="414"/>
    </row>
    <row r="1464" spans="1:5" x14ac:dyDescent="0.25">
      <c r="A1464" s="15">
        <f t="shared" si="15"/>
        <v>44816</v>
      </c>
      <c r="B1464" s="72">
        <v>0.64187499999999997</v>
      </c>
      <c r="C1464" s="157">
        <v>142.28</v>
      </c>
      <c r="D1464" s="17"/>
      <c r="E1464" s="414"/>
    </row>
    <row r="1465" spans="1:5" x14ac:dyDescent="0.25">
      <c r="A1465" s="15">
        <f t="shared" si="15"/>
        <v>44817</v>
      </c>
      <c r="B1465" s="72">
        <v>0.63937500000000003</v>
      </c>
      <c r="C1465" s="157">
        <v>142.58000000000001</v>
      </c>
      <c r="D1465" s="17"/>
      <c r="E1465" s="414"/>
    </row>
    <row r="1466" spans="1:5" x14ac:dyDescent="0.25">
      <c r="A1466" s="15">
        <f t="shared" si="15"/>
        <v>44818</v>
      </c>
      <c r="B1466" s="72">
        <v>0.63875000000000004</v>
      </c>
      <c r="C1466" s="157">
        <v>142.88</v>
      </c>
      <c r="D1466" s="17"/>
      <c r="E1466" s="414"/>
    </row>
    <row r="1467" spans="1:5" x14ac:dyDescent="0.25">
      <c r="A1467" s="15">
        <f t="shared" si="15"/>
        <v>44819</v>
      </c>
      <c r="B1467" s="72">
        <v>0.640625</v>
      </c>
      <c r="C1467" s="157">
        <v>143.18</v>
      </c>
      <c r="D1467" s="17"/>
      <c r="E1467" s="414"/>
    </row>
    <row r="1468" spans="1:5" x14ac:dyDescent="0.25">
      <c r="A1468" s="15">
        <f t="shared" ref="A1468:A1531" si="16">+WORKDAY.INTL(A1467,1,1,)</f>
        <v>44820</v>
      </c>
      <c r="B1468" s="72">
        <v>0.68187500000000001</v>
      </c>
      <c r="C1468" s="157">
        <v>143.5</v>
      </c>
      <c r="D1468" s="17"/>
      <c r="E1468" s="414"/>
    </row>
    <row r="1469" spans="1:5" x14ac:dyDescent="0.25">
      <c r="A1469" s="15">
        <f t="shared" si="16"/>
        <v>44823</v>
      </c>
      <c r="B1469" s="72">
        <v>0.68687500000000001</v>
      </c>
      <c r="C1469" s="157">
        <v>144.35</v>
      </c>
      <c r="D1469" s="17"/>
      <c r="E1469" s="414"/>
    </row>
    <row r="1470" spans="1:5" x14ac:dyDescent="0.25">
      <c r="A1470" s="15">
        <f t="shared" si="16"/>
        <v>44824</v>
      </c>
      <c r="B1470" s="72">
        <v>0.68687500000000001</v>
      </c>
      <c r="C1470" s="157">
        <v>144.63</v>
      </c>
      <c r="D1470" s="17"/>
      <c r="E1470" s="414"/>
    </row>
    <row r="1471" spans="1:5" x14ac:dyDescent="0.25">
      <c r="A1471" s="15">
        <f t="shared" si="16"/>
        <v>44825</v>
      </c>
      <c r="B1471" s="72">
        <v>0.69687500000000002</v>
      </c>
      <c r="C1471" s="157">
        <v>144.9</v>
      </c>
      <c r="D1471" s="17"/>
      <c r="E1471" s="414"/>
    </row>
    <row r="1472" spans="1:5" x14ac:dyDescent="0.25">
      <c r="A1472" s="15">
        <f t="shared" si="16"/>
        <v>44826</v>
      </c>
      <c r="B1472" s="72">
        <v>0.68625000000000003</v>
      </c>
      <c r="C1472" s="157">
        <v>145.16999999999999</v>
      </c>
      <c r="D1472" s="17"/>
      <c r="E1472" s="414"/>
    </row>
    <row r="1473" spans="1:5" x14ac:dyDescent="0.25">
      <c r="A1473" s="15">
        <f t="shared" si="16"/>
        <v>44827</v>
      </c>
      <c r="B1473" s="72">
        <v>0.6875</v>
      </c>
      <c r="C1473" s="157">
        <v>145.46</v>
      </c>
      <c r="D1473" s="17"/>
      <c r="E1473" s="414"/>
    </row>
    <row r="1474" spans="1:5" x14ac:dyDescent="0.25">
      <c r="A1474" s="15">
        <f t="shared" si="16"/>
        <v>44830</v>
      </c>
      <c r="B1474" s="72">
        <v>0.6925</v>
      </c>
      <c r="C1474" s="157">
        <v>146.26</v>
      </c>
      <c r="D1474" s="17"/>
      <c r="E1474" s="414"/>
    </row>
    <row r="1475" spans="1:5" x14ac:dyDescent="0.25">
      <c r="A1475" s="15">
        <f t="shared" si="16"/>
        <v>44831</v>
      </c>
      <c r="B1475" s="72">
        <v>0.6825</v>
      </c>
      <c r="C1475" s="157">
        <v>146.56</v>
      </c>
      <c r="D1475" s="17"/>
      <c r="E1475" s="414"/>
    </row>
    <row r="1476" spans="1:5" x14ac:dyDescent="0.25">
      <c r="A1476" s="15">
        <f t="shared" si="16"/>
        <v>44832</v>
      </c>
      <c r="B1476" s="72">
        <v>0.69</v>
      </c>
      <c r="C1476" s="157">
        <v>146.84</v>
      </c>
    </row>
    <row r="1477" spans="1:5" x14ac:dyDescent="0.25">
      <c r="A1477" s="15">
        <f t="shared" si="16"/>
        <v>44833</v>
      </c>
      <c r="B1477" s="72">
        <v>0.69125000000000003</v>
      </c>
      <c r="C1477" s="157">
        <v>147.09</v>
      </c>
    </row>
    <row r="1478" spans="1:5" x14ac:dyDescent="0.25">
      <c r="A1478" s="15">
        <f t="shared" si="16"/>
        <v>44834</v>
      </c>
      <c r="B1478" s="72">
        <f t="shared" ref="B1478:B1482" si="17">+B1477</f>
        <v>0.69125000000000003</v>
      </c>
      <c r="C1478" s="157">
        <v>147.32</v>
      </c>
    </row>
    <row r="1479" spans="1:5" x14ac:dyDescent="0.25">
      <c r="A1479" s="15">
        <f t="shared" si="16"/>
        <v>44837</v>
      </c>
      <c r="B1479" s="72">
        <f t="shared" si="17"/>
        <v>0.69125000000000003</v>
      </c>
      <c r="C1479" s="157">
        <f t="shared" ref="C1479:C1483" si="18">+C1478</f>
        <v>147.32</v>
      </c>
    </row>
    <row r="1480" spans="1:5" x14ac:dyDescent="0.25">
      <c r="A1480" s="15">
        <f t="shared" si="16"/>
        <v>44838</v>
      </c>
      <c r="B1480" s="72">
        <f t="shared" si="17"/>
        <v>0.69125000000000003</v>
      </c>
      <c r="C1480" s="157">
        <f t="shared" si="18"/>
        <v>147.32</v>
      </c>
    </row>
    <row r="1481" spans="1:5" x14ac:dyDescent="0.25">
      <c r="A1481" s="15">
        <f t="shared" si="16"/>
        <v>44839</v>
      </c>
      <c r="B1481" s="72">
        <f t="shared" si="17"/>
        <v>0.69125000000000003</v>
      </c>
      <c r="C1481" s="157">
        <f t="shared" si="18"/>
        <v>147.32</v>
      </c>
    </row>
    <row r="1482" spans="1:5" x14ac:dyDescent="0.25">
      <c r="A1482" s="15">
        <f t="shared" si="16"/>
        <v>44840</v>
      </c>
      <c r="B1482" s="72">
        <f t="shared" si="17"/>
        <v>0.69125000000000003</v>
      </c>
      <c r="C1482" s="157">
        <f t="shared" si="18"/>
        <v>147.32</v>
      </c>
    </row>
    <row r="1483" spans="1:5" x14ac:dyDescent="0.25">
      <c r="A1483" s="15">
        <f t="shared" si="16"/>
        <v>44841</v>
      </c>
      <c r="B1483" s="72">
        <f t="shared" ref="B1483:B1546" si="19">+B1482</f>
        <v>0.69125000000000003</v>
      </c>
      <c r="C1483" s="157">
        <f t="shared" si="18"/>
        <v>147.32</v>
      </c>
    </row>
    <row r="1484" spans="1:5" x14ac:dyDescent="0.25">
      <c r="A1484" s="15">
        <f t="shared" si="16"/>
        <v>44844</v>
      </c>
      <c r="B1484" s="72">
        <f t="shared" si="19"/>
        <v>0.69125000000000003</v>
      </c>
      <c r="C1484" s="157">
        <f t="shared" ref="C1484:C1547" si="20">+C1483</f>
        <v>147.32</v>
      </c>
    </row>
    <row r="1485" spans="1:5" x14ac:dyDescent="0.25">
      <c r="A1485" s="15">
        <f t="shared" si="16"/>
        <v>44845</v>
      </c>
      <c r="B1485" s="72">
        <f t="shared" si="19"/>
        <v>0.69125000000000003</v>
      </c>
      <c r="C1485" s="157">
        <f t="shared" si="20"/>
        <v>147.32</v>
      </c>
    </row>
    <row r="1486" spans="1:5" x14ac:dyDescent="0.25">
      <c r="A1486" s="15">
        <f t="shared" si="16"/>
        <v>44846</v>
      </c>
      <c r="B1486" s="72">
        <f t="shared" si="19"/>
        <v>0.69125000000000003</v>
      </c>
      <c r="C1486" s="157">
        <f t="shared" si="20"/>
        <v>147.32</v>
      </c>
    </row>
    <row r="1487" spans="1:5" x14ac:dyDescent="0.25">
      <c r="A1487" s="15">
        <f t="shared" si="16"/>
        <v>44847</v>
      </c>
      <c r="B1487" s="72">
        <f t="shared" si="19"/>
        <v>0.69125000000000003</v>
      </c>
      <c r="C1487" s="157">
        <f t="shared" si="20"/>
        <v>147.32</v>
      </c>
    </row>
    <row r="1488" spans="1:5" x14ac:dyDescent="0.25">
      <c r="A1488" s="15">
        <f t="shared" si="16"/>
        <v>44848</v>
      </c>
      <c r="B1488" s="72">
        <f t="shared" si="19"/>
        <v>0.69125000000000003</v>
      </c>
      <c r="C1488" s="157">
        <f t="shared" si="20"/>
        <v>147.32</v>
      </c>
    </row>
    <row r="1489" spans="1:3" x14ac:dyDescent="0.25">
      <c r="A1489" s="15">
        <f t="shared" si="16"/>
        <v>44851</v>
      </c>
      <c r="B1489" s="72">
        <f t="shared" si="19"/>
        <v>0.69125000000000003</v>
      </c>
      <c r="C1489" s="157">
        <f t="shared" si="20"/>
        <v>147.32</v>
      </c>
    </row>
    <row r="1490" spans="1:3" x14ac:dyDescent="0.25">
      <c r="A1490" s="15">
        <f t="shared" si="16"/>
        <v>44852</v>
      </c>
      <c r="B1490" s="72">
        <f t="shared" si="19"/>
        <v>0.69125000000000003</v>
      </c>
      <c r="C1490" s="157">
        <f t="shared" si="20"/>
        <v>147.32</v>
      </c>
    </row>
    <row r="1491" spans="1:3" x14ac:dyDescent="0.25">
      <c r="A1491" s="15">
        <f t="shared" si="16"/>
        <v>44853</v>
      </c>
      <c r="B1491" s="72">
        <f t="shared" si="19"/>
        <v>0.69125000000000003</v>
      </c>
      <c r="C1491" s="157">
        <f t="shared" si="20"/>
        <v>147.32</v>
      </c>
    </row>
    <row r="1492" spans="1:3" x14ac:dyDescent="0.25">
      <c r="A1492" s="15">
        <f t="shared" si="16"/>
        <v>44854</v>
      </c>
      <c r="B1492" s="72">
        <f t="shared" si="19"/>
        <v>0.69125000000000003</v>
      </c>
      <c r="C1492" s="157">
        <f t="shared" si="20"/>
        <v>147.32</v>
      </c>
    </row>
    <row r="1493" spans="1:3" x14ac:dyDescent="0.25">
      <c r="A1493" s="15">
        <f t="shared" si="16"/>
        <v>44855</v>
      </c>
      <c r="B1493" s="72">
        <f t="shared" si="19"/>
        <v>0.69125000000000003</v>
      </c>
      <c r="C1493" s="157">
        <f t="shared" si="20"/>
        <v>147.32</v>
      </c>
    </row>
    <row r="1494" spans="1:3" x14ac:dyDescent="0.25">
      <c r="A1494" s="15">
        <f t="shared" si="16"/>
        <v>44858</v>
      </c>
      <c r="B1494" s="72">
        <f t="shared" si="19"/>
        <v>0.69125000000000003</v>
      </c>
      <c r="C1494" s="157">
        <f t="shared" si="20"/>
        <v>147.32</v>
      </c>
    </row>
    <row r="1495" spans="1:3" x14ac:dyDescent="0.25">
      <c r="A1495" s="15">
        <f t="shared" si="16"/>
        <v>44859</v>
      </c>
      <c r="B1495" s="72">
        <f t="shared" si="19"/>
        <v>0.69125000000000003</v>
      </c>
      <c r="C1495" s="157">
        <f t="shared" si="20"/>
        <v>147.32</v>
      </c>
    </row>
    <row r="1496" spans="1:3" x14ac:dyDescent="0.25">
      <c r="A1496" s="15">
        <f t="shared" si="16"/>
        <v>44860</v>
      </c>
      <c r="B1496" s="72">
        <f t="shared" si="19"/>
        <v>0.69125000000000003</v>
      </c>
      <c r="C1496" s="157">
        <f t="shared" si="20"/>
        <v>147.32</v>
      </c>
    </row>
    <row r="1497" spans="1:3" x14ac:dyDescent="0.25">
      <c r="A1497" s="15">
        <f t="shared" si="16"/>
        <v>44861</v>
      </c>
      <c r="B1497" s="72">
        <v>0.68937499999999996</v>
      </c>
      <c r="C1497" s="157">
        <f t="shared" si="20"/>
        <v>147.32</v>
      </c>
    </row>
    <row r="1498" spans="1:3" x14ac:dyDescent="0.25">
      <c r="A1498" s="15">
        <f t="shared" si="16"/>
        <v>44862</v>
      </c>
      <c r="B1498" s="72">
        <f t="shared" si="19"/>
        <v>0.68937499999999996</v>
      </c>
      <c r="C1498" s="157">
        <v>156.02000000000001</v>
      </c>
    </row>
    <row r="1499" spans="1:3" x14ac:dyDescent="0.25">
      <c r="A1499" s="15">
        <f t="shared" si="16"/>
        <v>44865</v>
      </c>
      <c r="B1499" s="72">
        <f t="shared" si="19"/>
        <v>0.68937499999999996</v>
      </c>
      <c r="C1499" s="157">
        <f t="shared" si="20"/>
        <v>156.02000000000001</v>
      </c>
    </row>
    <row r="1500" spans="1:3" x14ac:dyDescent="0.25">
      <c r="A1500" s="15">
        <f t="shared" si="16"/>
        <v>44866</v>
      </c>
      <c r="B1500" s="72">
        <f t="shared" si="19"/>
        <v>0.68937499999999996</v>
      </c>
      <c r="C1500" s="157">
        <f t="shared" si="20"/>
        <v>156.02000000000001</v>
      </c>
    </row>
    <row r="1501" spans="1:3" x14ac:dyDescent="0.25">
      <c r="A1501" s="15">
        <f t="shared" si="16"/>
        <v>44867</v>
      </c>
      <c r="B1501" s="72">
        <f t="shared" si="19"/>
        <v>0.68937499999999996</v>
      </c>
      <c r="C1501" s="157">
        <f t="shared" si="20"/>
        <v>156.02000000000001</v>
      </c>
    </row>
    <row r="1502" spans="1:3" x14ac:dyDescent="0.25">
      <c r="A1502" s="15">
        <f t="shared" si="16"/>
        <v>44868</v>
      </c>
      <c r="B1502" s="72">
        <v>0.6875</v>
      </c>
      <c r="C1502" s="157">
        <f t="shared" si="20"/>
        <v>156.02000000000001</v>
      </c>
    </row>
    <row r="1503" spans="1:3" x14ac:dyDescent="0.25">
      <c r="A1503" s="15">
        <f t="shared" si="16"/>
        <v>44869</v>
      </c>
      <c r="B1503" s="72">
        <f t="shared" si="19"/>
        <v>0.6875</v>
      </c>
      <c r="C1503" s="157">
        <v>158.27000000000001</v>
      </c>
    </row>
    <row r="1504" spans="1:3" x14ac:dyDescent="0.25">
      <c r="A1504" s="15">
        <f t="shared" si="16"/>
        <v>44872</v>
      </c>
      <c r="B1504" s="72">
        <f t="shared" si="19"/>
        <v>0.6875</v>
      </c>
      <c r="C1504" s="157">
        <f t="shared" si="20"/>
        <v>158.27000000000001</v>
      </c>
    </row>
    <row r="1505" spans="1:3" x14ac:dyDescent="0.25">
      <c r="A1505" s="15">
        <f t="shared" si="16"/>
        <v>44873</v>
      </c>
      <c r="B1505" s="72">
        <f t="shared" si="19"/>
        <v>0.6875</v>
      </c>
      <c r="C1505" s="157">
        <f t="shared" si="20"/>
        <v>158.27000000000001</v>
      </c>
    </row>
    <row r="1506" spans="1:3" x14ac:dyDescent="0.25">
      <c r="A1506" s="15">
        <f t="shared" si="16"/>
        <v>44874</v>
      </c>
      <c r="B1506" s="72">
        <f t="shared" si="19"/>
        <v>0.6875</v>
      </c>
      <c r="C1506" s="157">
        <f t="shared" si="20"/>
        <v>158.27000000000001</v>
      </c>
    </row>
    <row r="1507" spans="1:3" x14ac:dyDescent="0.25">
      <c r="A1507" s="15">
        <f t="shared" si="16"/>
        <v>44875</v>
      </c>
      <c r="B1507" s="72">
        <v>0.70125000000000004</v>
      </c>
      <c r="C1507" s="157">
        <f t="shared" si="20"/>
        <v>158.27000000000001</v>
      </c>
    </row>
    <row r="1508" spans="1:3" x14ac:dyDescent="0.25">
      <c r="A1508" s="15">
        <f t="shared" si="16"/>
        <v>44876</v>
      </c>
      <c r="B1508" s="72">
        <f t="shared" si="19"/>
        <v>0.70125000000000004</v>
      </c>
      <c r="C1508" s="157">
        <v>160.71</v>
      </c>
    </row>
    <row r="1509" spans="1:3" x14ac:dyDescent="0.25">
      <c r="A1509" s="15">
        <f t="shared" si="16"/>
        <v>44879</v>
      </c>
      <c r="B1509" s="72">
        <f t="shared" si="19"/>
        <v>0.70125000000000004</v>
      </c>
      <c r="C1509" s="157">
        <f t="shared" si="20"/>
        <v>160.71</v>
      </c>
    </row>
    <row r="1510" spans="1:3" x14ac:dyDescent="0.25">
      <c r="A1510" s="15">
        <f t="shared" si="16"/>
        <v>44880</v>
      </c>
      <c r="B1510" s="72">
        <f t="shared" si="19"/>
        <v>0.70125000000000004</v>
      </c>
      <c r="C1510" s="157">
        <f t="shared" si="20"/>
        <v>160.71</v>
      </c>
    </row>
    <row r="1511" spans="1:3" x14ac:dyDescent="0.25">
      <c r="A1511" s="15">
        <f t="shared" si="16"/>
        <v>44881</v>
      </c>
      <c r="B1511" s="72">
        <f t="shared" si="19"/>
        <v>0.70125000000000004</v>
      </c>
      <c r="C1511" s="157">
        <f t="shared" si="20"/>
        <v>160.71</v>
      </c>
    </row>
    <row r="1512" spans="1:3" x14ac:dyDescent="0.25">
      <c r="A1512" s="15">
        <f t="shared" si="16"/>
        <v>44882</v>
      </c>
      <c r="B1512" s="72">
        <v>0.68687500000000001</v>
      </c>
      <c r="C1512" s="157">
        <f t="shared" si="20"/>
        <v>160.71</v>
      </c>
    </row>
    <row r="1513" spans="1:3" x14ac:dyDescent="0.25">
      <c r="A1513" s="15">
        <f t="shared" si="16"/>
        <v>44883</v>
      </c>
      <c r="B1513" s="72">
        <f t="shared" si="19"/>
        <v>0.68687500000000001</v>
      </c>
      <c r="C1513" s="157">
        <v>163.15</v>
      </c>
    </row>
    <row r="1514" spans="1:3" x14ac:dyDescent="0.25">
      <c r="A1514" s="15">
        <f t="shared" si="16"/>
        <v>44886</v>
      </c>
      <c r="B1514" s="72">
        <f t="shared" si="19"/>
        <v>0.68687500000000001</v>
      </c>
      <c r="C1514" s="157">
        <f t="shared" si="20"/>
        <v>163.15</v>
      </c>
    </row>
    <row r="1515" spans="1:3" x14ac:dyDescent="0.25">
      <c r="A1515" s="15">
        <f t="shared" si="16"/>
        <v>44887</v>
      </c>
      <c r="B1515" s="72">
        <f t="shared" si="19"/>
        <v>0.68687500000000001</v>
      </c>
      <c r="C1515" s="157">
        <f t="shared" si="20"/>
        <v>163.15</v>
      </c>
    </row>
    <row r="1516" spans="1:3" x14ac:dyDescent="0.25">
      <c r="A1516" s="15">
        <f t="shared" si="16"/>
        <v>44888</v>
      </c>
      <c r="B1516" s="72">
        <f t="shared" si="19"/>
        <v>0.68687500000000001</v>
      </c>
      <c r="C1516" s="157">
        <f t="shared" si="20"/>
        <v>163.15</v>
      </c>
    </row>
    <row r="1517" spans="1:3" x14ac:dyDescent="0.25">
      <c r="A1517" s="15">
        <f t="shared" si="16"/>
        <v>44889</v>
      </c>
      <c r="B1517" s="72">
        <v>0.68374999999999997</v>
      </c>
      <c r="C1517" s="157">
        <f t="shared" si="20"/>
        <v>163.15</v>
      </c>
    </row>
    <row r="1518" spans="1:3" x14ac:dyDescent="0.25">
      <c r="A1518" s="15">
        <f t="shared" si="16"/>
        <v>44890</v>
      </c>
      <c r="B1518" s="72">
        <f t="shared" si="19"/>
        <v>0.68374999999999997</v>
      </c>
      <c r="C1518" s="157">
        <v>165.59</v>
      </c>
    </row>
    <row r="1519" spans="1:3" x14ac:dyDescent="0.25">
      <c r="A1519" s="15">
        <f t="shared" si="16"/>
        <v>44893</v>
      </c>
      <c r="B1519" s="72">
        <f t="shared" si="19"/>
        <v>0.68374999999999997</v>
      </c>
      <c r="C1519" s="157">
        <f t="shared" si="20"/>
        <v>165.59</v>
      </c>
    </row>
    <row r="1520" spans="1:3" x14ac:dyDescent="0.25">
      <c r="A1520" s="15">
        <f t="shared" si="16"/>
        <v>44894</v>
      </c>
      <c r="B1520" s="72">
        <f t="shared" si="19"/>
        <v>0.68374999999999997</v>
      </c>
      <c r="C1520" s="157">
        <f t="shared" si="20"/>
        <v>165.59</v>
      </c>
    </row>
    <row r="1521" spans="1:3" x14ac:dyDescent="0.25">
      <c r="A1521" s="15">
        <f t="shared" si="16"/>
        <v>44895</v>
      </c>
      <c r="B1521" s="72">
        <f t="shared" si="19"/>
        <v>0.68374999999999997</v>
      </c>
      <c r="C1521" s="157">
        <f t="shared" si="20"/>
        <v>165.59</v>
      </c>
    </row>
    <row r="1522" spans="1:3" x14ac:dyDescent="0.25">
      <c r="A1522" s="15">
        <f t="shared" si="16"/>
        <v>44896</v>
      </c>
      <c r="B1522" s="72">
        <f t="shared" si="19"/>
        <v>0.68374999999999997</v>
      </c>
      <c r="C1522" s="157">
        <f t="shared" si="20"/>
        <v>165.59</v>
      </c>
    </row>
    <row r="1523" spans="1:3" x14ac:dyDescent="0.25">
      <c r="A1523" s="15">
        <f t="shared" si="16"/>
        <v>44897</v>
      </c>
      <c r="B1523" s="72">
        <f t="shared" si="19"/>
        <v>0.68374999999999997</v>
      </c>
      <c r="C1523" s="157">
        <f t="shared" si="20"/>
        <v>165.59</v>
      </c>
    </row>
    <row r="1524" spans="1:3" x14ac:dyDescent="0.25">
      <c r="A1524" s="15">
        <f t="shared" si="16"/>
        <v>44900</v>
      </c>
      <c r="B1524" s="72">
        <f t="shared" si="19"/>
        <v>0.68374999999999997</v>
      </c>
      <c r="C1524" s="157">
        <f t="shared" si="20"/>
        <v>165.59</v>
      </c>
    </row>
    <row r="1525" spans="1:3" x14ac:dyDescent="0.25">
      <c r="A1525" s="15">
        <f t="shared" si="16"/>
        <v>44901</v>
      </c>
      <c r="B1525" s="72">
        <v>0.69125000000000003</v>
      </c>
      <c r="C1525" s="157">
        <f t="shared" si="20"/>
        <v>165.59</v>
      </c>
    </row>
    <row r="1526" spans="1:3" x14ac:dyDescent="0.25">
      <c r="A1526" s="15">
        <f t="shared" si="16"/>
        <v>44902</v>
      </c>
      <c r="B1526" s="72">
        <f t="shared" si="19"/>
        <v>0.69125000000000003</v>
      </c>
      <c r="C1526" s="157">
        <v>169.87</v>
      </c>
    </row>
    <row r="1527" spans="1:3" x14ac:dyDescent="0.25">
      <c r="A1527" s="15">
        <f t="shared" si="16"/>
        <v>44903</v>
      </c>
      <c r="B1527" s="72">
        <f t="shared" si="19"/>
        <v>0.69125000000000003</v>
      </c>
      <c r="C1527" s="157">
        <f t="shared" si="20"/>
        <v>169.87</v>
      </c>
    </row>
    <row r="1528" spans="1:3" x14ac:dyDescent="0.25">
      <c r="A1528" s="15">
        <f t="shared" si="16"/>
        <v>44904</v>
      </c>
      <c r="B1528" s="72">
        <f t="shared" si="19"/>
        <v>0.69125000000000003</v>
      </c>
      <c r="C1528" s="157">
        <f t="shared" si="20"/>
        <v>169.87</v>
      </c>
    </row>
    <row r="1529" spans="1:3" x14ac:dyDescent="0.25">
      <c r="A1529" s="15">
        <f t="shared" si="16"/>
        <v>44907</v>
      </c>
      <c r="B1529" s="72">
        <f t="shared" si="19"/>
        <v>0.69125000000000003</v>
      </c>
      <c r="C1529" s="157">
        <f t="shared" si="20"/>
        <v>169.87</v>
      </c>
    </row>
    <row r="1530" spans="1:3" x14ac:dyDescent="0.25">
      <c r="A1530" s="15">
        <f t="shared" si="16"/>
        <v>44908</v>
      </c>
      <c r="B1530" s="72">
        <f t="shared" si="19"/>
        <v>0.69125000000000003</v>
      </c>
      <c r="C1530" s="157">
        <f t="shared" si="20"/>
        <v>169.87</v>
      </c>
    </row>
    <row r="1531" spans="1:3" x14ac:dyDescent="0.25">
      <c r="A1531" s="15">
        <f t="shared" si="16"/>
        <v>44909</v>
      </c>
      <c r="B1531" s="72">
        <f t="shared" si="19"/>
        <v>0.69125000000000003</v>
      </c>
      <c r="C1531" s="157">
        <f t="shared" si="20"/>
        <v>169.87</v>
      </c>
    </row>
    <row r="1532" spans="1:3" x14ac:dyDescent="0.25">
      <c r="A1532" s="15">
        <f t="shared" ref="A1532:A1595" si="21">+WORKDAY.INTL(A1531,1,1,)</f>
        <v>44910</v>
      </c>
      <c r="B1532" s="72">
        <v>0.68937499999999996</v>
      </c>
      <c r="C1532" s="157">
        <f t="shared" si="20"/>
        <v>169.87</v>
      </c>
    </row>
    <row r="1533" spans="1:3" x14ac:dyDescent="0.25">
      <c r="A1533" s="15">
        <f t="shared" si="21"/>
        <v>44911</v>
      </c>
      <c r="B1533" s="72">
        <f t="shared" si="19"/>
        <v>0.68937499999999996</v>
      </c>
      <c r="C1533" s="157">
        <v>172.73</v>
      </c>
    </row>
    <row r="1534" spans="1:3" x14ac:dyDescent="0.25">
      <c r="A1534" s="15">
        <f t="shared" si="21"/>
        <v>44914</v>
      </c>
      <c r="B1534" s="72">
        <f t="shared" si="19"/>
        <v>0.68937499999999996</v>
      </c>
      <c r="C1534" s="157">
        <f t="shared" si="20"/>
        <v>172.73</v>
      </c>
    </row>
    <row r="1535" spans="1:3" x14ac:dyDescent="0.25">
      <c r="A1535" s="15">
        <f t="shared" si="21"/>
        <v>44915</v>
      </c>
      <c r="B1535" s="72">
        <f t="shared" si="19"/>
        <v>0.68937499999999996</v>
      </c>
      <c r="C1535" s="157">
        <f t="shared" si="20"/>
        <v>172.73</v>
      </c>
    </row>
    <row r="1536" spans="1:3" x14ac:dyDescent="0.25">
      <c r="A1536" s="15">
        <f t="shared" si="21"/>
        <v>44916</v>
      </c>
      <c r="B1536" s="72">
        <f t="shared" si="19"/>
        <v>0.68937499999999996</v>
      </c>
      <c r="C1536" s="157">
        <f t="shared" si="20"/>
        <v>172.73</v>
      </c>
    </row>
    <row r="1537" spans="1:3" x14ac:dyDescent="0.25">
      <c r="A1537" s="15">
        <f t="shared" si="21"/>
        <v>44917</v>
      </c>
      <c r="B1537" s="72">
        <v>0.69687500000000002</v>
      </c>
      <c r="C1537" s="157">
        <f t="shared" si="20"/>
        <v>172.73</v>
      </c>
    </row>
    <row r="1538" spans="1:3" x14ac:dyDescent="0.25">
      <c r="A1538" s="15">
        <f t="shared" si="21"/>
        <v>44918</v>
      </c>
      <c r="B1538" s="72">
        <f t="shared" si="19"/>
        <v>0.69687500000000002</v>
      </c>
      <c r="C1538" s="157">
        <v>174.85</v>
      </c>
    </row>
    <row r="1539" spans="1:3" x14ac:dyDescent="0.25">
      <c r="A1539" s="15">
        <f t="shared" si="21"/>
        <v>44921</v>
      </c>
      <c r="B1539" s="72">
        <f t="shared" si="19"/>
        <v>0.69687500000000002</v>
      </c>
      <c r="C1539" s="157">
        <f t="shared" si="20"/>
        <v>174.85</v>
      </c>
    </row>
    <row r="1540" spans="1:3" x14ac:dyDescent="0.25">
      <c r="A1540" s="15">
        <f t="shared" si="21"/>
        <v>44922</v>
      </c>
      <c r="B1540" s="72">
        <f t="shared" si="19"/>
        <v>0.69687500000000002</v>
      </c>
      <c r="C1540" s="157">
        <f t="shared" si="20"/>
        <v>174.85</v>
      </c>
    </row>
    <row r="1541" spans="1:3" x14ac:dyDescent="0.25">
      <c r="A1541" s="15">
        <f t="shared" si="21"/>
        <v>44923</v>
      </c>
      <c r="B1541" s="72">
        <f t="shared" si="19"/>
        <v>0.69687500000000002</v>
      </c>
      <c r="C1541" s="157">
        <f t="shared" si="20"/>
        <v>174.85</v>
      </c>
    </row>
    <row r="1542" spans="1:3" x14ac:dyDescent="0.25">
      <c r="A1542" s="15">
        <f t="shared" si="21"/>
        <v>44924</v>
      </c>
      <c r="B1542" s="72">
        <v>0.68812499999999999</v>
      </c>
      <c r="C1542" s="157">
        <f t="shared" si="20"/>
        <v>174.85</v>
      </c>
    </row>
    <row r="1543" spans="1:3" x14ac:dyDescent="0.25">
      <c r="A1543" s="15">
        <f t="shared" si="21"/>
        <v>44925</v>
      </c>
      <c r="B1543" s="72">
        <f t="shared" si="19"/>
        <v>0.68812499999999999</v>
      </c>
      <c r="C1543" s="157">
        <v>177.13</v>
      </c>
    </row>
    <row r="1544" spans="1:3" x14ac:dyDescent="0.25">
      <c r="A1544" s="15">
        <f t="shared" si="21"/>
        <v>44928</v>
      </c>
      <c r="B1544" s="72">
        <f t="shared" si="19"/>
        <v>0.68812499999999999</v>
      </c>
      <c r="C1544" s="157">
        <f t="shared" si="20"/>
        <v>177.13</v>
      </c>
    </row>
    <row r="1545" spans="1:3" x14ac:dyDescent="0.25">
      <c r="A1545" s="15">
        <f t="shared" si="21"/>
        <v>44929</v>
      </c>
      <c r="B1545" s="72">
        <f t="shared" si="19"/>
        <v>0.68812499999999999</v>
      </c>
      <c r="C1545" s="157">
        <f t="shared" si="20"/>
        <v>177.13</v>
      </c>
    </row>
    <row r="1546" spans="1:3" x14ac:dyDescent="0.25">
      <c r="A1546" s="15">
        <f t="shared" si="21"/>
        <v>44930</v>
      </c>
      <c r="B1546" s="72">
        <f t="shared" si="19"/>
        <v>0.68812499999999999</v>
      </c>
      <c r="C1546" s="157">
        <f t="shared" si="20"/>
        <v>177.13</v>
      </c>
    </row>
    <row r="1547" spans="1:3" x14ac:dyDescent="0.25">
      <c r="A1547" s="15">
        <f t="shared" si="21"/>
        <v>44931</v>
      </c>
      <c r="B1547" s="72">
        <v>0.69374999999999998</v>
      </c>
      <c r="C1547" s="157">
        <f t="shared" si="20"/>
        <v>177.13</v>
      </c>
    </row>
    <row r="1548" spans="1:3" x14ac:dyDescent="0.25">
      <c r="A1548" s="15">
        <f t="shared" si="21"/>
        <v>44932</v>
      </c>
      <c r="B1548" s="72">
        <f t="shared" ref="B1548:B1609" si="22">+B1547</f>
        <v>0.69374999999999998</v>
      </c>
      <c r="C1548" s="157">
        <v>179.24</v>
      </c>
    </row>
    <row r="1549" spans="1:3" x14ac:dyDescent="0.25">
      <c r="A1549" s="15">
        <f t="shared" si="21"/>
        <v>44935</v>
      </c>
      <c r="B1549" s="72">
        <f t="shared" si="22"/>
        <v>0.69374999999999998</v>
      </c>
      <c r="C1549" s="157">
        <f t="shared" ref="C1549:C1610" si="23">+C1548</f>
        <v>179.24</v>
      </c>
    </row>
    <row r="1550" spans="1:3" x14ac:dyDescent="0.25">
      <c r="A1550" s="15">
        <f t="shared" si="21"/>
        <v>44936</v>
      </c>
      <c r="B1550" s="72">
        <f t="shared" si="22"/>
        <v>0.69374999999999998</v>
      </c>
      <c r="C1550" s="157">
        <f t="shared" si="23"/>
        <v>179.24</v>
      </c>
    </row>
    <row r="1551" spans="1:3" x14ac:dyDescent="0.25">
      <c r="A1551" s="15">
        <f t="shared" si="21"/>
        <v>44937</v>
      </c>
      <c r="B1551" s="72">
        <f t="shared" si="22"/>
        <v>0.69374999999999998</v>
      </c>
      <c r="C1551" s="157">
        <f t="shared" si="23"/>
        <v>179.24</v>
      </c>
    </row>
    <row r="1552" spans="1:3" x14ac:dyDescent="0.25">
      <c r="A1552" s="15">
        <f t="shared" si="21"/>
        <v>44938</v>
      </c>
      <c r="B1552" s="72">
        <v>0.69937499999999997</v>
      </c>
      <c r="C1552" s="157">
        <f t="shared" si="23"/>
        <v>179.24</v>
      </c>
    </row>
    <row r="1553" spans="1:3" x14ac:dyDescent="0.25">
      <c r="A1553" s="15">
        <f t="shared" si="21"/>
        <v>44939</v>
      </c>
      <c r="B1553" s="72">
        <f t="shared" si="22"/>
        <v>0.69937499999999997</v>
      </c>
      <c r="C1553" s="157">
        <v>181.28</v>
      </c>
    </row>
    <row r="1554" spans="1:3" x14ac:dyDescent="0.25">
      <c r="A1554" s="15">
        <f t="shared" si="21"/>
        <v>44942</v>
      </c>
      <c r="B1554" s="72">
        <f t="shared" si="22"/>
        <v>0.69937499999999997</v>
      </c>
      <c r="C1554" s="157">
        <f t="shared" si="23"/>
        <v>181.28</v>
      </c>
    </row>
    <row r="1555" spans="1:3" x14ac:dyDescent="0.25">
      <c r="A1555" s="15">
        <f t="shared" si="21"/>
        <v>44943</v>
      </c>
      <c r="B1555" s="72">
        <f t="shared" si="22"/>
        <v>0.69937499999999997</v>
      </c>
      <c r="C1555" s="157">
        <f t="shared" si="23"/>
        <v>181.28</v>
      </c>
    </row>
    <row r="1556" spans="1:3" x14ac:dyDescent="0.25">
      <c r="A1556" s="15">
        <f t="shared" si="21"/>
        <v>44944</v>
      </c>
      <c r="B1556" s="72">
        <f t="shared" si="22"/>
        <v>0.69937499999999997</v>
      </c>
      <c r="C1556" s="157">
        <f t="shared" si="23"/>
        <v>181.28</v>
      </c>
    </row>
    <row r="1557" spans="1:3" x14ac:dyDescent="0.25">
      <c r="A1557" s="15">
        <f t="shared" si="21"/>
        <v>44945</v>
      </c>
      <c r="B1557" s="72">
        <v>0.69187500000000002</v>
      </c>
      <c r="C1557" s="157">
        <f t="shared" si="23"/>
        <v>181.28</v>
      </c>
    </row>
    <row r="1558" spans="1:3" x14ac:dyDescent="0.25">
      <c r="A1558" s="15">
        <f t="shared" si="21"/>
        <v>44946</v>
      </c>
      <c r="B1558" s="72">
        <f t="shared" si="22"/>
        <v>0.69187500000000002</v>
      </c>
      <c r="C1558" s="157">
        <v>183.44</v>
      </c>
    </row>
    <row r="1559" spans="1:3" x14ac:dyDescent="0.25">
      <c r="A1559" s="15">
        <f t="shared" si="21"/>
        <v>44949</v>
      </c>
      <c r="B1559" s="72">
        <f t="shared" si="22"/>
        <v>0.69187500000000002</v>
      </c>
      <c r="C1559" s="157">
        <f t="shared" si="23"/>
        <v>183.44</v>
      </c>
    </row>
    <row r="1560" spans="1:3" x14ac:dyDescent="0.25">
      <c r="A1560" s="15">
        <f t="shared" si="21"/>
        <v>44950</v>
      </c>
      <c r="B1560" s="72">
        <f t="shared" si="22"/>
        <v>0.69187500000000002</v>
      </c>
      <c r="C1560" s="157">
        <f t="shared" si="23"/>
        <v>183.44</v>
      </c>
    </row>
    <row r="1561" spans="1:3" x14ac:dyDescent="0.25">
      <c r="A1561" s="15">
        <f t="shared" si="21"/>
        <v>44951</v>
      </c>
      <c r="B1561" s="72">
        <f t="shared" si="22"/>
        <v>0.69187500000000002</v>
      </c>
      <c r="C1561" s="157">
        <f t="shared" si="23"/>
        <v>183.44</v>
      </c>
    </row>
    <row r="1562" spans="1:3" x14ac:dyDescent="0.25">
      <c r="A1562" s="15">
        <f t="shared" si="21"/>
        <v>44952</v>
      </c>
      <c r="B1562" s="72">
        <v>0.69187500000000002</v>
      </c>
      <c r="C1562" s="157">
        <f t="shared" si="23"/>
        <v>183.44</v>
      </c>
    </row>
    <row r="1563" spans="1:3" x14ac:dyDescent="0.25">
      <c r="A1563" s="15">
        <f t="shared" si="21"/>
        <v>44953</v>
      </c>
      <c r="B1563" s="72">
        <f t="shared" si="22"/>
        <v>0.69187500000000002</v>
      </c>
      <c r="C1563" s="157">
        <v>185.63</v>
      </c>
    </row>
    <row r="1564" spans="1:3" x14ac:dyDescent="0.25">
      <c r="A1564" s="15">
        <f t="shared" si="21"/>
        <v>44956</v>
      </c>
      <c r="B1564" s="72">
        <f t="shared" si="22"/>
        <v>0.69187500000000002</v>
      </c>
      <c r="C1564" s="157">
        <f t="shared" si="23"/>
        <v>185.63</v>
      </c>
    </row>
    <row r="1565" spans="1:3" x14ac:dyDescent="0.25">
      <c r="A1565" s="15">
        <f t="shared" si="21"/>
        <v>44957</v>
      </c>
      <c r="B1565" s="72">
        <f t="shared" si="22"/>
        <v>0.69187500000000002</v>
      </c>
      <c r="C1565" s="157">
        <f t="shared" si="23"/>
        <v>185.63</v>
      </c>
    </row>
    <row r="1566" spans="1:3" x14ac:dyDescent="0.25">
      <c r="A1566" s="15">
        <f t="shared" si="21"/>
        <v>44958</v>
      </c>
      <c r="B1566" s="72">
        <f t="shared" si="22"/>
        <v>0.69187500000000002</v>
      </c>
      <c r="C1566" s="157">
        <f t="shared" si="23"/>
        <v>185.63</v>
      </c>
    </row>
    <row r="1567" spans="1:3" x14ac:dyDescent="0.25">
      <c r="A1567" s="15">
        <f t="shared" si="21"/>
        <v>44959</v>
      </c>
      <c r="B1567" s="72">
        <v>0.69187500000000002</v>
      </c>
      <c r="C1567" s="157">
        <f t="shared" si="23"/>
        <v>185.63</v>
      </c>
    </row>
    <row r="1568" spans="1:3" x14ac:dyDescent="0.25">
      <c r="A1568" s="15">
        <f t="shared" si="21"/>
        <v>44960</v>
      </c>
      <c r="B1568" s="72">
        <f t="shared" si="22"/>
        <v>0.69187500000000002</v>
      </c>
      <c r="C1568" s="157">
        <v>187.95</v>
      </c>
    </row>
    <row r="1569" spans="1:3" x14ac:dyDescent="0.25">
      <c r="A1569" s="15">
        <f t="shared" si="21"/>
        <v>44963</v>
      </c>
      <c r="B1569" s="72">
        <f t="shared" si="22"/>
        <v>0.69187500000000002</v>
      </c>
      <c r="C1569" s="157">
        <f t="shared" si="23"/>
        <v>187.95</v>
      </c>
    </row>
    <row r="1570" spans="1:3" x14ac:dyDescent="0.25">
      <c r="A1570" s="15">
        <f t="shared" si="21"/>
        <v>44964</v>
      </c>
      <c r="B1570" s="72">
        <f t="shared" si="22"/>
        <v>0.69187500000000002</v>
      </c>
      <c r="C1570" s="157">
        <f t="shared" si="23"/>
        <v>187.95</v>
      </c>
    </row>
    <row r="1571" spans="1:3" x14ac:dyDescent="0.25">
      <c r="A1571" s="15">
        <f t="shared" si="21"/>
        <v>44965</v>
      </c>
      <c r="B1571" s="72">
        <f t="shared" si="22"/>
        <v>0.69187500000000002</v>
      </c>
      <c r="C1571" s="157">
        <f t="shared" si="23"/>
        <v>187.95</v>
      </c>
    </row>
    <row r="1572" spans="1:3" x14ac:dyDescent="0.25">
      <c r="A1572" s="15">
        <f t="shared" si="21"/>
        <v>44966</v>
      </c>
      <c r="B1572" s="72">
        <v>0.69874999999999998</v>
      </c>
      <c r="C1572" s="157">
        <f t="shared" si="23"/>
        <v>187.95</v>
      </c>
    </row>
    <row r="1573" spans="1:3" x14ac:dyDescent="0.25">
      <c r="A1573" s="15">
        <f t="shared" si="21"/>
        <v>44967</v>
      </c>
      <c r="B1573" s="72">
        <f t="shared" si="22"/>
        <v>0.69874999999999998</v>
      </c>
      <c r="C1573" s="157">
        <v>190.53</v>
      </c>
    </row>
    <row r="1574" spans="1:3" x14ac:dyDescent="0.25">
      <c r="A1574" s="15">
        <f t="shared" si="21"/>
        <v>44970</v>
      </c>
      <c r="B1574" s="72">
        <f t="shared" si="22"/>
        <v>0.69874999999999998</v>
      </c>
      <c r="C1574" s="157">
        <f t="shared" si="23"/>
        <v>190.53</v>
      </c>
    </row>
    <row r="1575" spans="1:3" x14ac:dyDescent="0.25">
      <c r="A1575" s="15">
        <f t="shared" si="21"/>
        <v>44971</v>
      </c>
      <c r="B1575" s="72">
        <f t="shared" si="22"/>
        <v>0.69874999999999998</v>
      </c>
      <c r="C1575" s="157">
        <f t="shared" si="23"/>
        <v>190.53</v>
      </c>
    </row>
    <row r="1576" spans="1:3" x14ac:dyDescent="0.25">
      <c r="A1576" s="15">
        <f t="shared" si="21"/>
        <v>44972</v>
      </c>
      <c r="B1576" s="72">
        <f t="shared" si="22"/>
        <v>0.69874999999999998</v>
      </c>
      <c r="C1576" s="157">
        <f t="shared" si="23"/>
        <v>190.53</v>
      </c>
    </row>
    <row r="1577" spans="1:3" x14ac:dyDescent="0.25">
      <c r="A1577" s="15">
        <f t="shared" si="21"/>
        <v>44973</v>
      </c>
      <c r="B1577" s="72">
        <f t="shared" si="22"/>
        <v>0.69874999999999998</v>
      </c>
      <c r="C1577" s="157">
        <f t="shared" si="23"/>
        <v>190.53</v>
      </c>
    </row>
    <row r="1578" spans="1:3" x14ac:dyDescent="0.25">
      <c r="A1578" s="15">
        <f t="shared" si="21"/>
        <v>44974</v>
      </c>
      <c r="B1578" s="72">
        <v>0.69687500000000002</v>
      </c>
      <c r="C1578" s="157">
        <f t="shared" si="23"/>
        <v>190.53</v>
      </c>
    </row>
    <row r="1579" spans="1:3" x14ac:dyDescent="0.25">
      <c r="A1579" s="15">
        <f t="shared" si="21"/>
        <v>44977</v>
      </c>
      <c r="B1579" s="72">
        <f t="shared" si="22"/>
        <v>0.69687500000000002</v>
      </c>
      <c r="C1579" s="157">
        <f t="shared" si="23"/>
        <v>190.53</v>
      </c>
    </row>
    <row r="1580" spans="1:3" x14ac:dyDescent="0.25">
      <c r="A1580" s="15">
        <f t="shared" si="21"/>
        <v>44978</v>
      </c>
      <c r="B1580" s="72">
        <f t="shared" si="22"/>
        <v>0.69687500000000002</v>
      </c>
      <c r="C1580" s="157">
        <f t="shared" si="23"/>
        <v>190.53</v>
      </c>
    </row>
    <row r="1581" spans="1:3" x14ac:dyDescent="0.25">
      <c r="A1581" s="15">
        <f t="shared" si="21"/>
        <v>44979</v>
      </c>
      <c r="B1581" s="72">
        <f t="shared" si="22"/>
        <v>0.69687500000000002</v>
      </c>
      <c r="C1581" s="157">
        <v>194.98</v>
      </c>
    </row>
    <row r="1582" spans="1:3" x14ac:dyDescent="0.25">
      <c r="A1582" s="15">
        <f t="shared" si="21"/>
        <v>44980</v>
      </c>
      <c r="B1582" s="72">
        <v>0.69374999999999998</v>
      </c>
      <c r="C1582" s="157">
        <f t="shared" si="23"/>
        <v>194.98</v>
      </c>
    </row>
    <row r="1583" spans="1:3" x14ac:dyDescent="0.25">
      <c r="A1583" s="15">
        <f t="shared" si="21"/>
        <v>44981</v>
      </c>
      <c r="B1583" s="72">
        <f t="shared" si="22"/>
        <v>0.69374999999999998</v>
      </c>
      <c r="C1583" s="157">
        <v>195.74</v>
      </c>
    </row>
    <row r="1584" spans="1:3" x14ac:dyDescent="0.25">
      <c r="A1584" s="15">
        <f t="shared" si="21"/>
        <v>44984</v>
      </c>
      <c r="B1584" s="72">
        <f t="shared" si="22"/>
        <v>0.69374999999999998</v>
      </c>
      <c r="C1584" s="157">
        <f t="shared" si="23"/>
        <v>195.74</v>
      </c>
    </row>
    <row r="1585" spans="1:3" x14ac:dyDescent="0.25">
      <c r="A1585" s="15">
        <f t="shared" si="21"/>
        <v>44985</v>
      </c>
      <c r="B1585" s="72">
        <f t="shared" si="22"/>
        <v>0.69374999999999998</v>
      </c>
      <c r="C1585" s="157">
        <f t="shared" si="23"/>
        <v>195.74</v>
      </c>
    </row>
    <row r="1586" spans="1:3" x14ac:dyDescent="0.25">
      <c r="A1586" s="15">
        <f t="shared" si="21"/>
        <v>44986</v>
      </c>
      <c r="B1586" s="72">
        <f t="shared" si="22"/>
        <v>0.69374999999999998</v>
      </c>
      <c r="C1586" s="157">
        <f t="shared" si="23"/>
        <v>195.74</v>
      </c>
    </row>
    <row r="1587" spans="1:3" x14ac:dyDescent="0.25">
      <c r="A1587" s="15">
        <f t="shared" si="21"/>
        <v>44987</v>
      </c>
      <c r="B1587" s="72">
        <v>0.69750000000000001</v>
      </c>
      <c r="C1587" s="157">
        <f t="shared" si="23"/>
        <v>195.74</v>
      </c>
    </row>
    <row r="1588" spans="1:3" x14ac:dyDescent="0.25">
      <c r="A1588" s="15">
        <f t="shared" si="21"/>
        <v>44988</v>
      </c>
      <c r="B1588" s="72">
        <f t="shared" si="22"/>
        <v>0.69750000000000001</v>
      </c>
      <c r="C1588" s="157">
        <v>198.26</v>
      </c>
    </row>
    <row r="1589" spans="1:3" x14ac:dyDescent="0.25">
      <c r="A1589" s="15">
        <f t="shared" si="21"/>
        <v>44991</v>
      </c>
      <c r="B1589" s="72">
        <f t="shared" si="22"/>
        <v>0.69750000000000001</v>
      </c>
      <c r="C1589" s="157">
        <f t="shared" si="23"/>
        <v>198.26</v>
      </c>
    </row>
    <row r="1590" spans="1:3" x14ac:dyDescent="0.25">
      <c r="A1590" s="15">
        <f t="shared" si="21"/>
        <v>44992</v>
      </c>
      <c r="B1590" s="72">
        <f t="shared" si="22"/>
        <v>0.69750000000000001</v>
      </c>
      <c r="C1590" s="157">
        <f t="shared" si="23"/>
        <v>198.26</v>
      </c>
    </row>
    <row r="1591" spans="1:3" x14ac:dyDescent="0.25">
      <c r="A1591" s="15">
        <f t="shared" si="21"/>
        <v>44993</v>
      </c>
      <c r="B1591" s="72">
        <f t="shared" si="22"/>
        <v>0.69750000000000001</v>
      </c>
      <c r="C1591" s="157">
        <f t="shared" si="23"/>
        <v>198.26</v>
      </c>
    </row>
    <row r="1592" spans="1:3" x14ac:dyDescent="0.25">
      <c r="A1592" s="15">
        <f t="shared" si="21"/>
        <v>44994</v>
      </c>
      <c r="B1592" s="72">
        <v>0.70062500000000005</v>
      </c>
      <c r="C1592" s="157">
        <f t="shared" si="23"/>
        <v>198.26</v>
      </c>
    </row>
    <row r="1593" spans="1:3" x14ac:dyDescent="0.25">
      <c r="A1593" s="15">
        <f t="shared" si="21"/>
        <v>44995</v>
      </c>
      <c r="B1593" s="72">
        <f t="shared" si="22"/>
        <v>0.70062500000000005</v>
      </c>
      <c r="C1593" s="157">
        <v>200.72</v>
      </c>
    </row>
    <row r="1594" spans="1:3" x14ac:dyDescent="0.25">
      <c r="A1594" s="15">
        <f t="shared" si="21"/>
        <v>44998</v>
      </c>
      <c r="B1594" s="72">
        <f t="shared" si="22"/>
        <v>0.70062500000000005</v>
      </c>
      <c r="C1594" s="157">
        <f t="shared" si="23"/>
        <v>200.72</v>
      </c>
    </row>
    <row r="1595" spans="1:3" x14ac:dyDescent="0.25">
      <c r="A1595" s="15">
        <f t="shared" si="21"/>
        <v>44999</v>
      </c>
      <c r="B1595" s="72">
        <f t="shared" si="22"/>
        <v>0.70062500000000005</v>
      </c>
      <c r="C1595" s="157">
        <f t="shared" si="23"/>
        <v>200.72</v>
      </c>
    </row>
    <row r="1596" spans="1:3" x14ac:dyDescent="0.25">
      <c r="A1596" s="15">
        <f t="shared" ref="A1596:A1659" si="24">+WORKDAY.INTL(A1595,1,1,)</f>
        <v>45000</v>
      </c>
      <c r="B1596" s="72">
        <f t="shared" si="22"/>
        <v>0.70062500000000005</v>
      </c>
      <c r="C1596" s="157">
        <f t="shared" si="23"/>
        <v>200.72</v>
      </c>
    </row>
    <row r="1597" spans="1:3" x14ac:dyDescent="0.25">
      <c r="A1597" s="15">
        <f t="shared" si="24"/>
        <v>45001</v>
      </c>
      <c r="B1597" s="72">
        <v>0.70187500000000003</v>
      </c>
      <c r="C1597" s="157">
        <f t="shared" si="23"/>
        <v>200.72</v>
      </c>
    </row>
    <row r="1598" spans="1:3" x14ac:dyDescent="0.25">
      <c r="A1598" s="15">
        <f t="shared" si="24"/>
        <v>45002</v>
      </c>
      <c r="B1598" s="72">
        <f t="shared" si="22"/>
        <v>0.70187500000000003</v>
      </c>
      <c r="C1598" s="157">
        <v>203.34</v>
      </c>
    </row>
    <row r="1599" spans="1:3" x14ac:dyDescent="0.25">
      <c r="A1599" s="15">
        <f t="shared" si="24"/>
        <v>45005</v>
      </c>
      <c r="B1599" s="72">
        <f t="shared" si="22"/>
        <v>0.70187500000000003</v>
      </c>
      <c r="C1599" s="157">
        <f t="shared" si="23"/>
        <v>203.34</v>
      </c>
    </row>
    <row r="1600" spans="1:3" x14ac:dyDescent="0.25">
      <c r="A1600" s="15">
        <f t="shared" si="24"/>
        <v>45006</v>
      </c>
      <c r="B1600" s="72">
        <f t="shared" si="22"/>
        <v>0.70187500000000003</v>
      </c>
      <c r="C1600" s="157">
        <f t="shared" si="23"/>
        <v>203.34</v>
      </c>
    </row>
    <row r="1601" spans="1:3" x14ac:dyDescent="0.25">
      <c r="A1601" s="15">
        <f t="shared" si="24"/>
        <v>45007</v>
      </c>
      <c r="B1601" s="72">
        <f t="shared" si="22"/>
        <v>0.70187500000000003</v>
      </c>
      <c r="C1601" s="157">
        <f t="shared" si="23"/>
        <v>203.34</v>
      </c>
    </row>
    <row r="1602" spans="1:3" x14ac:dyDescent="0.25">
      <c r="A1602" s="15">
        <f t="shared" si="24"/>
        <v>45008</v>
      </c>
      <c r="B1602" s="72">
        <v>0.71062499999999995</v>
      </c>
      <c r="C1602" s="157">
        <f t="shared" si="23"/>
        <v>203.34</v>
      </c>
    </row>
    <row r="1603" spans="1:3" x14ac:dyDescent="0.25">
      <c r="A1603" s="15">
        <f t="shared" si="24"/>
        <v>45009</v>
      </c>
      <c r="B1603" s="72">
        <f t="shared" si="22"/>
        <v>0.71062499999999995</v>
      </c>
      <c r="C1603" s="157">
        <f t="shared" si="23"/>
        <v>203.34</v>
      </c>
    </row>
    <row r="1604" spans="1:3" x14ac:dyDescent="0.25">
      <c r="A1604" s="15">
        <f t="shared" si="24"/>
        <v>45012</v>
      </c>
      <c r="B1604" s="72">
        <f t="shared" si="22"/>
        <v>0.71062499999999995</v>
      </c>
      <c r="C1604" s="157">
        <v>207.4</v>
      </c>
    </row>
    <row r="1605" spans="1:3" x14ac:dyDescent="0.25">
      <c r="A1605" s="15">
        <f t="shared" si="24"/>
        <v>45013</v>
      </c>
      <c r="B1605" s="72">
        <f t="shared" si="22"/>
        <v>0.71062499999999995</v>
      </c>
      <c r="C1605" s="157">
        <f t="shared" si="23"/>
        <v>207.4</v>
      </c>
    </row>
    <row r="1606" spans="1:3" x14ac:dyDescent="0.25">
      <c r="A1606" s="15">
        <f t="shared" si="24"/>
        <v>45014</v>
      </c>
      <c r="B1606" s="72">
        <f t="shared" si="22"/>
        <v>0.71062499999999995</v>
      </c>
      <c r="C1606" s="157">
        <f t="shared" si="23"/>
        <v>207.4</v>
      </c>
    </row>
    <row r="1607" spans="1:3" x14ac:dyDescent="0.25">
      <c r="A1607" s="15">
        <f t="shared" si="24"/>
        <v>45015</v>
      </c>
      <c r="B1607" s="72">
        <f t="shared" si="22"/>
        <v>0.71062499999999995</v>
      </c>
      <c r="C1607" s="157">
        <f t="shared" si="23"/>
        <v>207.4</v>
      </c>
    </row>
    <row r="1608" spans="1:3" x14ac:dyDescent="0.25">
      <c r="A1608" s="15">
        <f t="shared" si="24"/>
        <v>45016</v>
      </c>
      <c r="B1608" s="72">
        <v>0.72437499999999999</v>
      </c>
      <c r="C1608" s="157">
        <f t="shared" si="23"/>
        <v>207.4</v>
      </c>
    </row>
    <row r="1609" spans="1:3" x14ac:dyDescent="0.25">
      <c r="A1609" s="15">
        <f t="shared" si="24"/>
        <v>45019</v>
      </c>
      <c r="B1609" s="72">
        <f t="shared" si="22"/>
        <v>0.72437499999999999</v>
      </c>
      <c r="C1609" s="157">
        <v>210.33</v>
      </c>
    </row>
    <row r="1610" spans="1:3" x14ac:dyDescent="0.25">
      <c r="A1610" s="15">
        <f t="shared" si="24"/>
        <v>45020</v>
      </c>
      <c r="B1610" s="72">
        <v>0.71875</v>
      </c>
      <c r="C1610" s="157">
        <f t="shared" si="23"/>
        <v>210.33</v>
      </c>
    </row>
    <row r="1611" spans="1:3" x14ac:dyDescent="0.25">
      <c r="A1611" s="15">
        <f t="shared" si="24"/>
        <v>45021</v>
      </c>
      <c r="B1611" s="72">
        <f t="shared" ref="B1611:B1674" si="25">+B1610</f>
        <v>0.71875</v>
      </c>
      <c r="C1611" s="157">
        <v>211.24</v>
      </c>
    </row>
    <row r="1612" spans="1:3" x14ac:dyDescent="0.25">
      <c r="A1612" s="15">
        <f t="shared" si="24"/>
        <v>45022</v>
      </c>
      <c r="B1612" s="72">
        <f t="shared" si="25"/>
        <v>0.71875</v>
      </c>
      <c r="C1612" s="157">
        <f t="shared" ref="C1612:C1675" si="26">+C1611</f>
        <v>211.24</v>
      </c>
    </row>
    <row r="1613" spans="1:3" x14ac:dyDescent="0.25">
      <c r="A1613" s="15">
        <f t="shared" si="24"/>
        <v>45023</v>
      </c>
      <c r="B1613" s="72">
        <f t="shared" si="25"/>
        <v>0.71875</v>
      </c>
      <c r="C1613" s="157">
        <f t="shared" si="26"/>
        <v>211.24</v>
      </c>
    </row>
    <row r="1614" spans="1:3" x14ac:dyDescent="0.25">
      <c r="A1614" s="15">
        <f t="shared" si="24"/>
        <v>45026</v>
      </c>
      <c r="B1614" s="72">
        <f t="shared" si="25"/>
        <v>0.71875</v>
      </c>
      <c r="C1614" s="157">
        <f t="shared" si="26"/>
        <v>211.24</v>
      </c>
    </row>
    <row r="1615" spans="1:3" x14ac:dyDescent="0.25">
      <c r="A1615" s="15">
        <f t="shared" si="24"/>
        <v>45027</v>
      </c>
      <c r="B1615" s="72">
        <f t="shared" si="25"/>
        <v>0.71875</v>
      </c>
      <c r="C1615" s="157">
        <f t="shared" si="26"/>
        <v>211.24</v>
      </c>
    </row>
    <row r="1616" spans="1:3" x14ac:dyDescent="0.25">
      <c r="A1616" s="15">
        <f t="shared" si="24"/>
        <v>45028</v>
      </c>
      <c r="B1616" s="72">
        <f t="shared" si="25"/>
        <v>0.71875</v>
      </c>
      <c r="C1616" s="157">
        <f t="shared" si="26"/>
        <v>211.24</v>
      </c>
    </row>
    <row r="1617" spans="1:3" x14ac:dyDescent="0.25">
      <c r="A1617" s="15">
        <f t="shared" si="24"/>
        <v>45029</v>
      </c>
      <c r="B1617" s="72">
        <f t="shared" si="25"/>
        <v>0.71875</v>
      </c>
      <c r="C1617" s="157">
        <f t="shared" si="26"/>
        <v>211.24</v>
      </c>
    </row>
    <row r="1618" spans="1:3" x14ac:dyDescent="0.25">
      <c r="A1618" s="15">
        <f t="shared" si="24"/>
        <v>45030</v>
      </c>
      <c r="B1618" s="72">
        <v>0.73124999999999996</v>
      </c>
      <c r="C1618" s="157">
        <f t="shared" si="26"/>
        <v>211.24</v>
      </c>
    </row>
    <row r="1619" spans="1:3" x14ac:dyDescent="0.25">
      <c r="A1619" s="15">
        <f t="shared" si="24"/>
        <v>45033</v>
      </c>
      <c r="B1619" s="72">
        <f t="shared" si="25"/>
        <v>0.73124999999999996</v>
      </c>
      <c r="C1619" s="157">
        <v>216.36</v>
      </c>
    </row>
    <row r="1620" spans="1:3" x14ac:dyDescent="0.25">
      <c r="A1620" s="15">
        <f t="shared" si="24"/>
        <v>45034</v>
      </c>
      <c r="B1620" s="72">
        <f t="shared" si="25"/>
        <v>0.73124999999999996</v>
      </c>
      <c r="C1620" s="157">
        <f t="shared" si="26"/>
        <v>216.36</v>
      </c>
    </row>
    <row r="1621" spans="1:3" x14ac:dyDescent="0.25">
      <c r="A1621" s="15">
        <f t="shared" si="24"/>
        <v>45035</v>
      </c>
      <c r="B1621" s="72">
        <f t="shared" si="25"/>
        <v>0.73124999999999996</v>
      </c>
      <c r="C1621" s="157">
        <f t="shared" si="26"/>
        <v>216.36</v>
      </c>
    </row>
    <row r="1622" spans="1:3" x14ac:dyDescent="0.25">
      <c r="A1622" s="15">
        <f t="shared" si="24"/>
        <v>45036</v>
      </c>
      <c r="B1622" s="72">
        <v>0.73062499999999997</v>
      </c>
      <c r="C1622" s="157">
        <f t="shared" si="26"/>
        <v>216.36</v>
      </c>
    </row>
    <row r="1623" spans="1:3" x14ac:dyDescent="0.25">
      <c r="A1623" s="15">
        <f t="shared" si="24"/>
        <v>45037</v>
      </c>
      <c r="B1623" s="72">
        <f t="shared" si="25"/>
        <v>0.73062499999999997</v>
      </c>
      <c r="C1623" s="157">
        <v>218.51</v>
      </c>
    </row>
    <row r="1624" spans="1:3" x14ac:dyDescent="0.25">
      <c r="A1624" s="15">
        <f t="shared" si="24"/>
        <v>45040</v>
      </c>
      <c r="B1624" s="72">
        <f t="shared" si="25"/>
        <v>0.73062499999999997</v>
      </c>
      <c r="C1624" s="157">
        <f t="shared" si="26"/>
        <v>218.51</v>
      </c>
    </row>
    <row r="1625" spans="1:3" x14ac:dyDescent="0.25">
      <c r="A1625" s="15">
        <f t="shared" si="24"/>
        <v>45041</v>
      </c>
      <c r="B1625" s="72">
        <f t="shared" si="25"/>
        <v>0.73062499999999997</v>
      </c>
      <c r="C1625" s="157">
        <f t="shared" si="26"/>
        <v>218.51</v>
      </c>
    </row>
    <row r="1626" spans="1:3" x14ac:dyDescent="0.25">
      <c r="A1626" s="15">
        <f t="shared" si="24"/>
        <v>45042</v>
      </c>
      <c r="B1626" s="72">
        <f t="shared" si="25"/>
        <v>0.73062499999999997</v>
      </c>
      <c r="C1626" s="157">
        <f t="shared" si="26"/>
        <v>218.51</v>
      </c>
    </row>
    <row r="1627" spans="1:3" x14ac:dyDescent="0.25">
      <c r="A1627" s="15">
        <f t="shared" si="24"/>
        <v>45043</v>
      </c>
      <c r="B1627" s="72">
        <v>0.76249999999999996</v>
      </c>
      <c r="C1627" s="157">
        <f t="shared" si="26"/>
        <v>218.51</v>
      </c>
    </row>
    <row r="1628" spans="1:3" x14ac:dyDescent="0.25">
      <c r="A1628" s="15">
        <f t="shared" si="24"/>
        <v>45044</v>
      </c>
      <c r="B1628" s="72">
        <f t="shared" si="25"/>
        <v>0.76249999999999996</v>
      </c>
      <c r="C1628" s="157">
        <v>222.58</v>
      </c>
    </row>
    <row r="1629" spans="1:3" x14ac:dyDescent="0.25">
      <c r="A1629" s="15">
        <f t="shared" si="24"/>
        <v>45047</v>
      </c>
      <c r="B1629" s="72">
        <f t="shared" si="25"/>
        <v>0.76249999999999996</v>
      </c>
      <c r="C1629" s="157">
        <f t="shared" si="26"/>
        <v>222.58</v>
      </c>
    </row>
    <row r="1630" spans="1:3" x14ac:dyDescent="0.25">
      <c r="A1630" s="15">
        <f t="shared" si="24"/>
        <v>45048</v>
      </c>
      <c r="B1630" s="72">
        <f t="shared" si="25"/>
        <v>0.76249999999999996</v>
      </c>
      <c r="C1630" s="157">
        <f t="shared" si="26"/>
        <v>222.58</v>
      </c>
    </row>
    <row r="1631" spans="1:3" x14ac:dyDescent="0.25">
      <c r="A1631" s="15">
        <f t="shared" si="24"/>
        <v>45049</v>
      </c>
      <c r="B1631" s="72">
        <f t="shared" si="25"/>
        <v>0.76249999999999996</v>
      </c>
      <c r="C1631" s="157">
        <f t="shared" si="26"/>
        <v>222.58</v>
      </c>
    </row>
    <row r="1632" spans="1:3" x14ac:dyDescent="0.25">
      <c r="A1632" s="15">
        <f t="shared" si="24"/>
        <v>45050</v>
      </c>
      <c r="B1632" s="72">
        <f t="shared" si="25"/>
        <v>0.76249999999999996</v>
      </c>
      <c r="C1632" s="157">
        <f t="shared" si="26"/>
        <v>222.58</v>
      </c>
    </row>
    <row r="1633" spans="1:3" x14ac:dyDescent="0.25">
      <c r="A1633" s="15">
        <f t="shared" si="24"/>
        <v>45051</v>
      </c>
      <c r="B1633" s="72">
        <f t="shared" si="25"/>
        <v>0.76249999999999996</v>
      </c>
      <c r="C1633" s="157">
        <f t="shared" si="26"/>
        <v>222.58</v>
      </c>
    </row>
    <row r="1634" spans="1:3" x14ac:dyDescent="0.25">
      <c r="A1634" s="15">
        <f t="shared" si="24"/>
        <v>45054</v>
      </c>
      <c r="B1634" s="72">
        <v>0.57874999999999999</v>
      </c>
      <c r="C1634" s="157">
        <v>227.58</v>
      </c>
    </row>
    <row r="1635" spans="1:3" x14ac:dyDescent="0.25">
      <c r="A1635" s="15">
        <f t="shared" si="24"/>
        <v>45055</v>
      </c>
      <c r="B1635" s="72">
        <f t="shared" si="25"/>
        <v>0.57874999999999999</v>
      </c>
      <c r="C1635" s="157">
        <f t="shared" si="26"/>
        <v>227.58</v>
      </c>
    </row>
    <row r="1636" spans="1:3" x14ac:dyDescent="0.25">
      <c r="A1636" s="15">
        <f t="shared" si="24"/>
        <v>45056</v>
      </c>
      <c r="B1636" s="72">
        <f t="shared" si="25"/>
        <v>0.57874999999999999</v>
      </c>
      <c r="C1636" s="157">
        <f t="shared" si="26"/>
        <v>227.58</v>
      </c>
    </row>
    <row r="1637" spans="1:3" x14ac:dyDescent="0.25">
      <c r="A1637" s="15">
        <f t="shared" si="24"/>
        <v>45057</v>
      </c>
      <c r="B1637" s="72">
        <f t="shared" si="25"/>
        <v>0.57874999999999999</v>
      </c>
      <c r="C1637" s="157">
        <f t="shared" si="26"/>
        <v>227.58</v>
      </c>
    </row>
    <row r="1638" spans="1:3" x14ac:dyDescent="0.25">
      <c r="A1638" s="15">
        <f t="shared" si="24"/>
        <v>45058</v>
      </c>
      <c r="B1638" s="72">
        <f t="shared" si="25"/>
        <v>0.57874999999999999</v>
      </c>
      <c r="C1638" s="157">
        <f t="shared" si="26"/>
        <v>227.58</v>
      </c>
    </row>
    <row r="1639" spans="1:3" x14ac:dyDescent="0.25">
      <c r="A1639" s="15">
        <f t="shared" si="24"/>
        <v>45061</v>
      </c>
      <c r="B1639" s="72">
        <v>0.88062499999999999</v>
      </c>
      <c r="C1639" s="157">
        <v>229.33</v>
      </c>
    </row>
    <row r="1640" spans="1:3" x14ac:dyDescent="0.25">
      <c r="A1640" s="15">
        <f t="shared" si="24"/>
        <v>45062</v>
      </c>
      <c r="B1640" s="72">
        <f t="shared" si="25"/>
        <v>0.88062499999999999</v>
      </c>
      <c r="C1640" s="157">
        <f t="shared" si="26"/>
        <v>229.33</v>
      </c>
    </row>
    <row r="1641" spans="1:3" x14ac:dyDescent="0.25">
      <c r="A1641" s="15">
        <f t="shared" si="24"/>
        <v>45063</v>
      </c>
      <c r="B1641" s="72">
        <f t="shared" si="25"/>
        <v>0.88062499999999999</v>
      </c>
      <c r="C1641" s="157">
        <f t="shared" si="26"/>
        <v>229.33</v>
      </c>
    </row>
    <row r="1642" spans="1:3" x14ac:dyDescent="0.25">
      <c r="A1642" s="15">
        <f t="shared" si="24"/>
        <v>45064</v>
      </c>
      <c r="B1642" s="72">
        <v>0.93125000000000002</v>
      </c>
      <c r="C1642" s="157">
        <f t="shared" si="26"/>
        <v>229.33</v>
      </c>
    </row>
    <row r="1643" spans="1:3" x14ac:dyDescent="0.25">
      <c r="A1643" s="15">
        <f t="shared" si="24"/>
        <v>45065</v>
      </c>
      <c r="B1643" s="72">
        <f t="shared" si="25"/>
        <v>0.93125000000000002</v>
      </c>
      <c r="C1643" s="157">
        <v>232.74</v>
      </c>
    </row>
    <row r="1644" spans="1:3" x14ac:dyDescent="0.25">
      <c r="A1644" s="15">
        <f t="shared" si="24"/>
        <v>45068</v>
      </c>
      <c r="B1644" s="72">
        <f t="shared" si="25"/>
        <v>0.93125000000000002</v>
      </c>
      <c r="C1644" s="157">
        <f t="shared" si="26"/>
        <v>232.74</v>
      </c>
    </row>
    <row r="1645" spans="1:3" x14ac:dyDescent="0.25">
      <c r="A1645" s="15">
        <f t="shared" si="24"/>
        <v>45069</v>
      </c>
      <c r="B1645" s="72">
        <v>0.91749999999999998</v>
      </c>
      <c r="C1645" s="157">
        <f t="shared" si="26"/>
        <v>232.74</v>
      </c>
    </row>
    <row r="1646" spans="1:3" x14ac:dyDescent="0.25">
      <c r="A1646" s="15">
        <f t="shared" si="24"/>
        <v>45070</v>
      </c>
      <c r="B1646" s="72">
        <f t="shared" si="25"/>
        <v>0.91749999999999998</v>
      </c>
      <c r="C1646" s="157">
        <v>235.63</v>
      </c>
    </row>
    <row r="1647" spans="1:3" x14ac:dyDescent="0.25">
      <c r="A1647" s="15">
        <f t="shared" si="24"/>
        <v>45071</v>
      </c>
      <c r="B1647" s="72">
        <f t="shared" si="25"/>
        <v>0.91749999999999998</v>
      </c>
      <c r="C1647" s="157">
        <f t="shared" si="26"/>
        <v>235.63</v>
      </c>
    </row>
    <row r="1648" spans="1:3" x14ac:dyDescent="0.25">
      <c r="A1648" s="15">
        <f t="shared" si="24"/>
        <v>45072</v>
      </c>
      <c r="B1648" s="72">
        <f t="shared" si="25"/>
        <v>0.91749999999999998</v>
      </c>
      <c r="C1648" s="157">
        <f t="shared" si="26"/>
        <v>235.63</v>
      </c>
    </row>
    <row r="1649" spans="1:3" x14ac:dyDescent="0.25">
      <c r="A1649" s="15">
        <f t="shared" si="24"/>
        <v>45075</v>
      </c>
      <c r="B1649" s="72">
        <f t="shared" si="25"/>
        <v>0.91749999999999998</v>
      </c>
      <c r="C1649" s="157">
        <f t="shared" si="26"/>
        <v>235.63</v>
      </c>
    </row>
    <row r="1650" spans="1:3" x14ac:dyDescent="0.25">
      <c r="A1650" s="15">
        <f t="shared" si="24"/>
        <v>45076</v>
      </c>
      <c r="B1650" s="72">
        <f t="shared" si="25"/>
        <v>0.91749999999999998</v>
      </c>
      <c r="C1650" s="157">
        <f t="shared" si="26"/>
        <v>235.63</v>
      </c>
    </row>
    <row r="1651" spans="1:3" x14ac:dyDescent="0.25">
      <c r="A1651" s="15">
        <f t="shared" si="24"/>
        <v>45077</v>
      </c>
      <c r="B1651" s="72">
        <f t="shared" si="25"/>
        <v>0.91749999999999998</v>
      </c>
      <c r="C1651" s="157">
        <f t="shared" si="26"/>
        <v>235.63</v>
      </c>
    </row>
    <row r="1652" spans="1:3" x14ac:dyDescent="0.25">
      <c r="A1652" s="15">
        <f t="shared" si="24"/>
        <v>45078</v>
      </c>
      <c r="B1652" s="72">
        <f t="shared" si="25"/>
        <v>0.91749999999999998</v>
      </c>
      <c r="C1652" s="157">
        <f t="shared" si="26"/>
        <v>235.63</v>
      </c>
    </row>
    <row r="1653" spans="1:3" x14ac:dyDescent="0.25">
      <c r="A1653" s="15">
        <f t="shared" si="24"/>
        <v>45079</v>
      </c>
      <c r="B1653" s="72">
        <v>0.92437499999999995</v>
      </c>
      <c r="C1653" s="157">
        <f t="shared" si="26"/>
        <v>235.63</v>
      </c>
    </row>
    <row r="1654" spans="1:3" x14ac:dyDescent="0.25">
      <c r="A1654" s="15">
        <f t="shared" si="24"/>
        <v>45082</v>
      </c>
      <c r="B1654" s="72">
        <f t="shared" si="25"/>
        <v>0.92437499999999995</v>
      </c>
      <c r="C1654" s="157">
        <v>242.55</v>
      </c>
    </row>
    <row r="1655" spans="1:3" x14ac:dyDescent="0.25">
      <c r="A1655" s="15">
        <f t="shared" si="24"/>
        <v>45083</v>
      </c>
      <c r="B1655" s="72">
        <f t="shared" si="25"/>
        <v>0.92437499999999995</v>
      </c>
      <c r="C1655" s="157">
        <f t="shared" si="26"/>
        <v>242.55</v>
      </c>
    </row>
    <row r="1656" spans="1:3" x14ac:dyDescent="0.25">
      <c r="A1656" s="15">
        <f t="shared" si="24"/>
        <v>45084</v>
      </c>
      <c r="B1656" s="72">
        <f t="shared" si="25"/>
        <v>0.92437499999999995</v>
      </c>
      <c r="C1656" s="157">
        <f t="shared" si="26"/>
        <v>242.55</v>
      </c>
    </row>
    <row r="1657" spans="1:3" x14ac:dyDescent="0.25">
      <c r="A1657" s="15">
        <f t="shared" si="24"/>
        <v>45085</v>
      </c>
      <c r="B1657" s="72">
        <v>0.91937500000000005</v>
      </c>
      <c r="C1657" s="157">
        <f t="shared" si="26"/>
        <v>242.55</v>
      </c>
    </row>
    <row r="1658" spans="1:3" x14ac:dyDescent="0.25">
      <c r="A1658" s="15">
        <f t="shared" si="24"/>
        <v>45086</v>
      </c>
      <c r="B1658" s="72">
        <f t="shared" si="25"/>
        <v>0.91937500000000005</v>
      </c>
      <c r="C1658" s="157">
        <v>244.97</v>
      </c>
    </row>
    <row r="1659" spans="1:3" x14ac:dyDescent="0.25">
      <c r="A1659" s="15">
        <f t="shared" si="24"/>
        <v>45089</v>
      </c>
      <c r="B1659" s="72">
        <f t="shared" si="25"/>
        <v>0.91937500000000005</v>
      </c>
      <c r="C1659" s="157">
        <f t="shared" si="26"/>
        <v>244.97</v>
      </c>
    </row>
    <row r="1660" spans="1:3" x14ac:dyDescent="0.25">
      <c r="A1660" s="15">
        <f t="shared" ref="A1660:A1723" si="27">+WORKDAY.INTL(A1659,1,1,)</f>
        <v>45090</v>
      </c>
      <c r="B1660" s="72">
        <f t="shared" si="25"/>
        <v>0.91937500000000005</v>
      </c>
      <c r="C1660" s="157">
        <f t="shared" si="26"/>
        <v>244.97</v>
      </c>
    </row>
    <row r="1661" spans="1:3" x14ac:dyDescent="0.25">
      <c r="A1661" s="15">
        <f t="shared" si="27"/>
        <v>45091</v>
      </c>
      <c r="B1661" s="72">
        <f t="shared" si="25"/>
        <v>0.91937500000000005</v>
      </c>
      <c r="C1661" s="157">
        <f t="shared" si="26"/>
        <v>244.97</v>
      </c>
    </row>
    <row r="1662" spans="1:3" x14ac:dyDescent="0.25">
      <c r="A1662" s="15">
        <f t="shared" si="27"/>
        <v>45092</v>
      </c>
      <c r="B1662" s="72">
        <v>0.92500000000000004</v>
      </c>
      <c r="C1662" s="157">
        <f t="shared" si="26"/>
        <v>244.97</v>
      </c>
    </row>
    <row r="1663" spans="1:3" x14ac:dyDescent="0.25">
      <c r="A1663" s="15">
        <f t="shared" si="27"/>
        <v>45093</v>
      </c>
      <c r="B1663" s="72">
        <f t="shared" si="25"/>
        <v>0.92500000000000004</v>
      </c>
      <c r="C1663" s="157">
        <v>249.16</v>
      </c>
    </row>
    <row r="1664" spans="1:3" x14ac:dyDescent="0.25">
      <c r="A1664" s="15">
        <f t="shared" si="27"/>
        <v>45096</v>
      </c>
      <c r="B1664" s="72">
        <f t="shared" si="25"/>
        <v>0.92500000000000004</v>
      </c>
      <c r="C1664" s="157">
        <f t="shared" si="26"/>
        <v>249.16</v>
      </c>
    </row>
    <row r="1665" spans="1:3" x14ac:dyDescent="0.25">
      <c r="A1665" s="15">
        <f t="shared" si="27"/>
        <v>45097</v>
      </c>
      <c r="B1665" s="72">
        <f t="shared" si="25"/>
        <v>0.92500000000000004</v>
      </c>
      <c r="C1665" s="157">
        <f t="shared" si="26"/>
        <v>249.16</v>
      </c>
    </row>
    <row r="1666" spans="1:3" x14ac:dyDescent="0.25">
      <c r="A1666" s="15">
        <f t="shared" si="27"/>
        <v>45098</v>
      </c>
      <c r="B1666" s="72">
        <f t="shared" si="25"/>
        <v>0.92500000000000004</v>
      </c>
      <c r="C1666" s="157">
        <f t="shared" si="26"/>
        <v>249.16</v>
      </c>
    </row>
    <row r="1667" spans="1:3" x14ac:dyDescent="0.25">
      <c r="A1667" s="15">
        <f t="shared" si="27"/>
        <v>45099</v>
      </c>
      <c r="B1667" s="72">
        <f t="shared" si="25"/>
        <v>0.92500000000000004</v>
      </c>
      <c r="C1667" s="157">
        <f t="shared" si="26"/>
        <v>249.16</v>
      </c>
    </row>
    <row r="1668" spans="1:3" x14ac:dyDescent="0.25">
      <c r="A1668" s="15">
        <f t="shared" si="27"/>
        <v>45100</v>
      </c>
      <c r="B1668" s="72">
        <f t="shared" si="25"/>
        <v>0.92500000000000004</v>
      </c>
      <c r="C1668" s="157">
        <f t="shared" si="26"/>
        <v>249.16</v>
      </c>
    </row>
    <row r="1669" spans="1:3" x14ac:dyDescent="0.25">
      <c r="A1669" s="15">
        <f t="shared" si="27"/>
        <v>45103</v>
      </c>
      <c r="B1669" s="72">
        <v>0.92249999999999999</v>
      </c>
      <c r="C1669" s="157">
        <v>254.54</v>
      </c>
    </row>
    <row r="1670" spans="1:3" x14ac:dyDescent="0.25">
      <c r="A1670" s="15">
        <f t="shared" si="27"/>
        <v>45104</v>
      </c>
      <c r="B1670" s="72">
        <f t="shared" si="25"/>
        <v>0.92249999999999999</v>
      </c>
      <c r="C1670" s="157">
        <f t="shared" si="26"/>
        <v>254.54</v>
      </c>
    </row>
    <row r="1671" spans="1:3" x14ac:dyDescent="0.25">
      <c r="A1671" s="15">
        <f t="shared" si="27"/>
        <v>45105</v>
      </c>
      <c r="B1671" s="72">
        <f t="shared" si="25"/>
        <v>0.92249999999999999</v>
      </c>
      <c r="C1671" s="157">
        <f t="shared" si="26"/>
        <v>254.54</v>
      </c>
    </row>
    <row r="1672" spans="1:3" x14ac:dyDescent="0.25">
      <c r="A1672" s="15">
        <f t="shared" si="27"/>
        <v>45106</v>
      </c>
      <c r="B1672" s="72">
        <v>0.92562500000000003</v>
      </c>
      <c r="C1672" s="157">
        <f t="shared" si="26"/>
        <v>254.54</v>
      </c>
    </row>
    <row r="1673" spans="1:3" x14ac:dyDescent="0.25">
      <c r="A1673" s="15">
        <f t="shared" si="27"/>
        <v>45107</v>
      </c>
      <c r="B1673" s="72">
        <f t="shared" si="25"/>
        <v>0.92562500000000003</v>
      </c>
      <c r="C1673" s="157">
        <v>256.68</v>
      </c>
    </row>
    <row r="1674" spans="1:3" x14ac:dyDescent="0.25">
      <c r="A1674" s="15">
        <f t="shared" si="27"/>
        <v>45110</v>
      </c>
      <c r="B1674" s="72">
        <f t="shared" si="25"/>
        <v>0.92562500000000003</v>
      </c>
      <c r="C1674" s="157">
        <f t="shared" si="26"/>
        <v>256.68</v>
      </c>
    </row>
    <row r="1675" spans="1:3" x14ac:dyDescent="0.25">
      <c r="A1675" s="15">
        <f t="shared" si="27"/>
        <v>45111</v>
      </c>
      <c r="B1675" s="72">
        <f t="shared" ref="B1675:B1738" si="28">+B1674</f>
        <v>0.92562500000000003</v>
      </c>
      <c r="C1675" s="157">
        <f t="shared" si="26"/>
        <v>256.68</v>
      </c>
    </row>
    <row r="1676" spans="1:3" x14ac:dyDescent="0.25">
      <c r="A1676" s="15">
        <f t="shared" si="27"/>
        <v>45112</v>
      </c>
      <c r="B1676" s="72">
        <f t="shared" si="28"/>
        <v>0.92562500000000003</v>
      </c>
      <c r="C1676" s="157">
        <f t="shared" ref="C1676:C1738" si="29">+C1675</f>
        <v>256.68</v>
      </c>
    </row>
    <row r="1677" spans="1:3" x14ac:dyDescent="0.25">
      <c r="A1677" s="15">
        <f t="shared" si="27"/>
        <v>45113</v>
      </c>
      <c r="B1677" s="72">
        <v>0.93062500000000004</v>
      </c>
      <c r="C1677" s="157">
        <f t="shared" si="29"/>
        <v>256.68</v>
      </c>
    </row>
    <row r="1678" spans="1:3" x14ac:dyDescent="0.25">
      <c r="A1678" s="15">
        <f t="shared" si="27"/>
        <v>45114</v>
      </c>
      <c r="B1678" s="72">
        <f t="shared" si="28"/>
        <v>0.93062500000000004</v>
      </c>
      <c r="C1678" s="157">
        <v>260.98</v>
      </c>
    </row>
    <row r="1679" spans="1:3" x14ac:dyDescent="0.25">
      <c r="A1679" s="15">
        <f t="shared" si="27"/>
        <v>45117</v>
      </c>
      <c r="B1679" s="72">
        <f t="shared" si="28"/>
        <v>0.93062500000000004</v>
      </c>
      <c r="C1679" s="157">
        <f t="shared" si="29"/>
        <v>260.98</v>
      </c>
    </row>
    <row r="1680" spans="1:3" x14ac:dyDescent="0.25">
      <c r="A1680" s="15">
        <f t="shared" si="27"/>
        <v>45118</v>
      </c>
      <c r="B1680" s="72">
        <f t="shared" si="28"/>
        <v>0.93062500000000004</v>
      </c>
      <c r="C1680" s="157">
        <f t="shared" si="29"/>
        <v>260.98</v>
      </c>
    </row>
    <row r="1681" spans="1:3" x14ac:dyDescent="0.25">
      <c r="A1681" s="15">
        <f t="shared" si="27"/>
        <v>45119</v>
      </c>
      <c r="B1681" s="72">
        <f t="shared" si="28"/>
        <v>0.93062500000000004</v>
      </c>
      <c r="C1681" s="157">
        <f t="shared" si="29"/>
        <v>260.98</v>
      </c>
    </row>
    <row r="1682" spans="1:3" x14ac:dyDescent="0.25">
      <c r="A1682" s="15">
        <f t="shared" si="27"/>
        <v>45120</v>
      </c>
      <c r="B1682" s="72">
        <v>0.92937499999999995</v>
      </c>
      <c r="C1682" s="157">
        <f t="shared" si="29"/>
        <v>260.98</v>
      </c>
    </row>
    <row r="1683" spans="1:3" x14ac:dyDescent="0.25">
      <c r="A1683" s="15">
        <f t="shared" si="27"/>
        <v>45121</v>
      </c>
      <c r="B1683" s="72">
        <f t="shared" si="28"/>
        <v>0.92937499999999995</v>
      </c>
      <c r="C1683" s="157">
        <v>265.14</v>
      </c>
    </row>
    <row r="1684" spans="1:3" x14ac:dyDescent="0.25">
      <c r="A1684" s="15">
        <f t="shared" si="27"/>
        <v>45124</v>
      </c>
      <c r="B1684" s="72">
        <f t="shared" si="28"/>
        <v>0.92937499999999995</v>
      </c>
      <c r="C1684" s="157">
        <f t="shared" si="29"/>
        <v>265.14</v>
      </c>
    </row>
    <row r="1685" spans="1:3" x14ac:dyDescent="0.25">
      <c r="A1685" s="15">
        <f t="shared" si="27"/>
        <v>45125</v>
      </c>
      <c r="B1685" s="72">
        <f t="shared" si="28"/>
        <v>0.92937499999999995</v>
      </c>
      <c r="C1685" s="157">
        <f t="shared" si="29"/>
        <v>265.14</v>
      </c>
    </row>
    <row r="1686" spans="1:3" x14ac:dyDescent="0.25">
      <c r="A1686" s="15">
        <f t="shared" si="27"/>
        <v>45126</v>
      </c>
      <c r="B1686" s="72">
        <f t="shared" si="28"/>
        <v>0.92937499999999995</v>
      </c>
      <c r="C1686" s="157">
        <f t="shared" si="29"/>
        <v>265.14</v>
      </c>
    </row>
    <row r="1687" spans="1:3" x14ac:dyDescent="0.25">
      <c r="A1687" s="15">
        <f t="shared" si="27"/>
        <v>45127</v>
      </c>
      <c r="B1687" s="72">
        <v>0.91312499999999996</v>
      </c>
      <c r="C1687" s="157">
        <f t="shared" si="29"/>
        <v>265.14</v>
      </c>
    </row>
    <row r="1688" spans="1:3" x14ac:dyDescent="0.25">
      <c r="A1688" s="15">
        <f t="shared" si="27"/>
        <v>45128</v>
      </c>
      <c r="B1688" s="72">
        <f t="shared" si="28"/>
        <v>0.91312499999999996</v>
      </c>
      <c r="C1688" s="157">
        <f t="shared" si="29"/>
        <v>265.14</v>
      </c>
    </row>
    <row r="1689" spans="1:3" x14ac:dyDescent="0.25">
      <c r="A1689" s="15">
        <f t="shared" si="27"/>
        <v>45131</v>
      </c>
      <c r="B1689" s="72">
        <f t="shared" si="28"/>
        <v>0.91312499999999996</v>
      </c>
      <c r="C1689" s="157">
        <v>269.42</v>
      </c>
    </row>
    <row r="1690" spans="1:3" x14ac:dyDescent="0.25">
      <c r="A1690" s="15">
        <f t="shared" si="27"/>
        <v>45132</v>
      </c>
      <c r="B1690" s="72">
        <f t="shared" si="28"/>
        <v>0.91312499999999996</v>
      </c>
      <c r="C1690" s="157">
        <f t="shared" si="29"/>
        <v>269.42</v>
      </c>
    </row>
    <row r="1691" spans="1:3" x14ac:dyDescent="0.25">
      <c r="A1691" s="15">
        <f t="shared" si="27"/>
        <v>45133</v>
      </c>
      <c r="B1691" s="72">
        <f t="shared" si="28"/>
        <v>0.91312499999999996</v>
      </c>
      <c r="C1691" s="157">
        <f t="shared" si="29"/>
        <v>269.42</v>
      </c>
    </row>
    <row r="1692" spans="1:3" x14ac:dyDescent="0.25">
      <c r="A1692" s="15">
        <f t="shared" si="27"/>
        <v>45134</v>
      </c>
      <c r="B1692" s="72">
        <f t="shared" si="28"/>
        <v>0.91312499999999996</v>
      </c>
      <c r="C1692" s="157">
        <f t="shared" si="29"/>
        <v>269.42</v>
      </c>
    </row>
    <row r="1693" spans="1:3" x14ac:dyDescent="0.25">
      <c r="A1693" s="15">
        <f t="shared" si="27"/>
        <v>45135</v>
      </c>
      <c r="B1693" s="72">
        <f t="shared" si="28"/>
        <v>0.91312499999999996</v>
      </c>
      <c r="C1693" s="157">
        <f t="shared" si="29"/>
        <v>269.42</v>
      </c>
    </row>
    <row r="1694" spans="1:3" x14ac:dyDescent="0.25">
      <c r="A1694" s="15">
        <f t="shared" si="27"/>
        <v>45138</v>
      </c>
      <c r="B1694" s="72">
        <f t="shared" si="28"/>
        <v>0.91312499999999996</v>
      </c>
      <c r="C1694" s="157">
        <f t="shared" si="29"/>
        <v>269.42</v>
      </c>
    </row>
    <row r="1695" spans="1:3" x14ac:dyDescent="0.25">
      <c r="A1695" s="15">
        <f t="shared" si="27"/>
        <v>45139</v>
      </c>
      <c r="B1695" s="72">
        <f t="shared" si="28"/>
        <v>0.91312499999999996</v>
      </c>
      <c r="C1695" s="157">
        <f t="shared" si="29"/>
        <v>269.42</v>
      </c>
    </row>
    <row r="1696" spans="1:3" x14ac:dyDescent="0.25">
      <c r="A1696" s="15">
        <f t="shared" si="27"/>
        <v>45140</v>
      </c>
      <c r="B1696" s="72">
        <f t="shared" si="28"/>
        <v>0.91312499999999996</v>
      </c>
      <c r="C1696" s="157">
        <f t="shared" si="29"/>
        <v>269.42</v>
      </c>
    </row>
    <row r="1697" spans="1:3" x14ac:dyDescent="0.25">
      <c r="A1697" s="15">
        <f t="shared" si="27"/>
        <v>45141</v>
      </c>
      <c r="B1697" s="72">
        <v>0.93125000000000002</v>
      </c>
      <c r="C1697" s="157">
        <f t="shared" si="29"/>
        <v>269.42</v>
      </c>
    </row>
    <row r="1698" spans="1:3" x14ac:dyDescent="0.25">
      <c r="A1698" s="15">
        <f t="shared" si="27"/>
        <v>45142</v>
      </c>
      <c r="B1698" s="72">
        <f t="shared" si="28"/>
        <v>0.93125000000000002</v>
      </c>
      <c r="C1698" s="157">
        <v>279.32</v>
      </c>
    </row>
    <row r="1699" spans="1:3" x14ac:dyDescent="0.25">
      <c r="A1699" s="15">
        <f t="shared" si="27"/>
        <v>45145</v>
      </c>
      <c r="B1699" s="72">
        <f t="shared" si="28"/>
        <v>0.93125000000000002</v>
      </c>
      <c r="C1699" s="157">
        <f t="shared" si="29"/>
        <v>279.32</v>
      </c>
    </row>
    <row r="1700" spans="1:3" x14ac:dyDescent="0.25">
      <c r="A1700" s="15">
        <f t="shared" si="27"/>
        <v>45146</v>
      </c>
      <c r="B1700" s="72">
        <f t="shared" si="28"/>
        <v>0.93125000000000002</v>
      </c>
      <c r="C1700" s="157">
        <f t="shared" si="29"/>
        <v>279.32</v>
      </c>
    </row>
    <row r="1701" spans="1:3" x14ac:dyDescent="0.25">
      <c r="A1701" s="15">
        <f t="shared" si="27"/>
        <v>45147</v>
      </c>
      <c r="B1701" s="72">
        <f t="shared" si="28"/>
        <v>0.93125000000000002</v>
      </c>
      <c r="C1701" s="157">
        <f t="shared" si="29"/>
        <v>279.32</v>
      </c>
    </row>
    <row r="1702" spans="1:3" x14ac:dyDescent="0.25">
      <c r="A1702" s="15">
        <f t="shared" si="27"/>
        <v>45148</v>
      </c>
      <c r="B1702" s="72">
        <f t="shared" si="28"/>
        <v>0.93125000000000002</v>
      </c>
      <c r="C1702" s="157">
        <f t="shared" si="29"/>
        <v>279.32</v>
      </c>
    </row>
    <row r="1703" spans="1:3" x14ac:dyDescent="0.25">
      <c r="A1703" s="15">
        <f t="shared" si="27"/>
        <v>45149</v>
      </c>
      <c r="B1703" s="72">
        <f t="shared" si="28"/>
        <v>0.93125000000000002</v>
      </c>
      <c r="C1703" s="157">
        <f t="shared" si="29"/>
        <v>279.32</v>
      </c>
    </row>
    <row r="1704" spans="1:3" x14ac:dyDescent="0.25">
      <c r="A1704" s="15">
        <f t="shared" si="27"/>
        <v>45152</v>
      </c>
      <c r="B1704" s="72">
        <f t="shared" si="28"/>
        <v>0.93125000000000002</v>
      </c>
      <c r="C1704" s="157">
        <f t="shared" si="29"/>
        <v>279.32</v>
      </c>
    </row>
    <row r="1705" spans="1:3" x14ac:dyDescent="0.25">
      <c r="A1705" s="15">
        <f t="shared" si="27"/>
        <v>45153</v>
      </c>
      <c r="B1705" s="72">
        <f t="shared" si="28"/>
        <v>0.93125000000000002</v>
      </c>
      <c r="C1705" s="157">
        <f t="shared" si="29"/>
        <v>279.32</v>
      </c>
    </row>
    <row r="1706" spans="1:3" x14ac:dyDescent="0.25">
      <c r="A1706" s="15">
        <f t="shared" si="27"/>
        <v>45154</v>
      </c>
      <c r="B1706" s="72">
        <f t="shared" si="28"/>
        <v>0.93125000000000002</v>
      </c>
      <c r="C1706" s="157">
        <f t="shared" si="29"/>
        <v>279.32</v>
      </c>
    </row>
    <row r="1707" spans="1:3" x14ac:dyDescent="0.25">
      <c r="A1707" s="15">
        <f t="shared" si="27"/>
        <v>45155</v>
      </c>
      <c r="B1707" s="72">
        <v>1.1299999999999999</v>
      </c>
      <c r="C1707" s="157">
        <f t="shared" si="29"/>
        <v>279.32</v>
      </c>
    </row>
    <row r="1708" spans="1:3" x14ac:dyDescent="0.25">
      <c r="A1708" s="15">
        <f t="shared" si="27"/>
        <v>45156</v>
      </c>
      <c r="B1708" s="72">
        <f t="shared" si="28"/>
        <v>1.1299999999999999</v>
      </c>
      <c r="C1708" s="157">
        <v>350.02</v>
      </c>
    </row>
    <row r="1709" spans="1:3" x14ac:dyDescent="0.25">
      <c r="A1709" s="15">
        <f t="shared" si="27"/>
        <v>45159</v>
      </c>
      <c r="B1709" s="72">
        <f t="shared" si="28"/>
        <v>1.1299999999999999</v>
      </c>
      <c r="C1709" s="157">
        <f t="shared" si="29"/>
        <v>350.02</v>
      </c>
    </row>
    <row r="1710" spans="1:3" x14ac:dyDescent="0.25">
      <c r="A1710" s="15">
        <f t="shared" si="27"/>
        <v>45160</v>
      </c>
      <c r="B1710" s="72">
        <f t="shared" si="28"/>
        <v>1.1299999999999999</v>
      </c>
      <c r="C1710" s="157">
        <f t="shared" si="29"/>
        <v>350.02</v>
      </c>
    </row>
    <row r="1711" spans="1:3" x14ac:dyDescent="0.25">
      <c r="A1711" s="15">
        <f t="shared" si="27"/>
        <v>45161</v>
      </c>
      <c r="B1711" s="72">
        <f t="shared" si="28"/>
        <v>1.1299999999999999</v>
      </c>
      <c r="C1711" s="157">
        <f t="shared" si="29"/>
        <v>350.02</v>
      </c>
    </row>
    <row r="1712" spans="1:3" x14ac:dyDescent="0.25">
      <c r="A1712" s="15">
        <f t="shared" si="27"/>
        <v>45162</v>
      </c>
      <c r="B1712" s="72">
        <f t="shared" si="28"/>
        <v>1.1299999999999999</v>
      </c>
      <c r="C1712" s="157">
        <f t="shared" si="29"/>
        <v>350.02</v>
      </c>
    </row>
    <row r="1713" spans="1:3" x14ac:dyDescent="0.25">
      <c r="A1713" s="15">
        <f t="shared" si="27"/>
        <v>45163</v>
      </c>
      <c r="B1713" s="72">
        <v>1.130625</v>
      </c>
      <c r="C1713" s="157">
        <f t="shared" si="29"/>
        <v>350.02</v>
      </c>
    </row>
    <row r="1714" spans="1:3" x14ac:dyDescent="0.25">
      <c r="A1714" s="15">
        <f t="shared" si="27"/>
        <v>45166</v>
      </c>
      <c r="B1714" s="72">
        <f t="shared" si="28"/>
        <v>1.130625</v>
      </c>
      <c r="C1714" s="157">
        <v>349.99</v>
      </c>
    </row>
    <row r="1715" spans="1:3" x14ac:dyDescent="0.25">
      <c r="A1715" s="15">
        <f t="shared" si="27"/>
        <v>45167</v>
      </c>
      <c r="B1715" s="72">
        <f t="shared" si="28"/>
        <v>1.130625</v>
      </c>
      <c r="C1715" s="157">
        <f t="shared" si="29"/>
        <v>349.99</v>
      </c>
    </row>
    <row r="1716" spans="1:3" x14ac:dyDescent="0.25">
      <c r="A1716" s="15">
        <f t="shared" si="27"/>
        <v>45168</v>
      </c>
      <c r="B1716" s="72">
        <f t="shared" si="28"/>
        <v>1.130625</v>
      </c>
      <c r="C1716" s="157">
        <f t="shared" si="29"/>
        <v>349.99</v>
      </c>
    </row>
    <row r="1717" spans="1:3" x14ac:dyDescent="0.25">
      <c r="A1717" s="15">
        <f t="shared" si="27"/>
        <v>45169</v>
      </c>
      <c r="B1717" s="72">
        <f t="shared" si="28"/>
        <v>1.130625</v>
      </c>
      <c r="C1717" s="157">
        <f t="shared" si="29"/>
        <v>349.99</v>
      </c>
    </row>
    <row r="1718" spans="1:3" x14ac:dyDescent="0.25">
      <c r="A1718" s="15">
        <f t="shared" si="27"/>
        <v>45170</v>
      </c>
      <c r="B1718" s="72">
        <v>1.141875</v>
      </c>
      <c r="C1718" s="157">
        <f t="shared" si="29"/>
        <v>349.99</v>
      </c>
    </row>
    <row r="1719" spans="1:3" x14ac:dyDescent="0.25">
      <c r="A1719" s="15">
        <f t="shared" si="27"/>
        <v>45173</v>
      </c>
      <c r="B1719" s="72">
        <f t="shared" si="28"/>
        <v>1.141875</v>
      </c>
      <c r="C1719" s="157">
        <v>350.03</v>
      </c>
    </row>
    <row r="1720" spans="1:3" x14ac:dyDescent="0.25">
      <c r="A1720" s="15">
        <f t="shared" si="27"/>
        <v>45174</v>
      </c>
      <c r="B1720" s="72">
        <f t="shared" si="28"/>
        <v>1.141875</v>
      </c>
      <c r="C1720" s="157">
        <f t="shared" si="29"/>
        <v>350.03</v>
      </c>
    </row>
    <row r="1721" spans="1:3" x14ac:dyDescent="0.25">
      <c r="A1721" s="15">
        <f t="shared" si="27"/>
        <v>45175</v>
      </c>
      <c r="B1721" s="72">
        <f t="shared" si="28"/>
        <v>1.141875</v>
      </c>
      <c r="C1721" s="157">
        <f t="shared" si="29"/>
        <v>350.03</v>
      </c>
    </row>
    <row r="1722" spans="1:3" x14ac:dyDescent="0.25">
      <c r="A1722" s="15">
        <f t="shared" si="27"/>
        <v>45176</v>
      </c>
      <c r="B1722" s="72">
        <v>1.13625</v>
      </c>
      <c r="C1722" s="157">
        <f t="shared" si="29"/>
        <v>350.03</v>
      </c>
    </row>
    <row r="1723" spans="1:3" x14ac:dyDescent="0.25">
      <c r="A1723" s="15">
        <f t="shared" si="27"/>
        <v>45177</v>
      </c>
      <c r="B1723" s="72">
        <f t="shared" si="28"/>
        <v>1.13625</v>
      </c>
      <c r="C1723" s="157">
        <v>349.98</v>
      </c>
    </row>
    <row r="1724" spans="1:3" x14ac:dyDescent="0.25">
      <c r="A1724" s="15">
        <f t="shared" ref="A1724:A1787" si="30">+WORKDAY.INTL(A1723,1,1,)</f>
        <v>45180</v>
      </c>
      <c r="B1724" s="72">
        <f t="shared" si="28"/>
        <v>1.13625</v>
      </c>
      <c r="C1724" s="157">
        <f t="shared" si="29"/>
        <v>349.98</v>
      </c>
    </row>
    <row r="1725" spans="1:3" x14ac:dyDescent="0.25">
      <c r="A1725" s="15">
        <f t="shared" si="30"/>
        <v>45181</v>
      </c>
      <c r="B1725" s="72">
        <f t="shared" si="28"/>
        <v>1.13625</v>
      </c>
      <c r="C1725" s="157">
        <f t="shared" si="29"/>
        <v>349.98</v>
      </c>
    </row>
    <row r="1726" spans="1:3" x14ac:dyDescent="0.25">
      <c r="A1726" s="15">
        <f t="shared" si="30"/>
        <v>45182</v>
      </c>
      <c r="B1726" s="72">
        <f t="shared" si="28"/>
        <v>1.13625</v>
      </c>
      <c r="C1726" s="157">
        <f t="shared" si="29"/>
        <v>349.98</v>
      </c>
    </row>
    <row r="1727" spans="1:3" x14ac:dyDescent="0.25">
      <c r="A1727" s="15">
        <f t="shared" si="30"/>
        <v>45183</v>
      </c>
      <c r="B1727" s="72">
        <f t="shared" si="28"/>
        <v>1.13625</v>
      </c>
      <c r="C1727" s="157">
        <f t="shared" si="29"/>
        <v>349.98</v>
      </c>
    </row>
    <row r="1728" spans="1:3" x14ac:dyDescent="0.25">
      <c r="A1728" s="15">
        <f t="shared" si="30"/>
        <v>45184</v>
      </c>
      <c r="B1728" s="72">
        <f t="shared" si="28"/>
        <v>1.13625</v>
      </c>
      <c r="C1728" s="157">
        <f t="shared" si="29"/>
        <v>349.98</v>
      </c>
    </row>
    <row r="1729" spans="1:3" x14ac:dyDescent="0.25">
      <c r="A1729" s="15">
        <f t="shared" si="30"/>
        <v>45187</v>
      </c>
      <c r="B1729" s="72">
        <v>1.1368750000000001</v>
      </c>
      <c r="C1729" s="157">
        <v>349.99</v>
      </c>
    </row>
    <row r="1730" spans="1:3" x14ac:dyDescent="0.25">
      <c r="A1730" s="15">
        <f t="shared" si="30"/>
        <v>45188</v>
      </c>
      <c r="B1730" s="72">
        <f t="shared" si="28"/>
        <v>1.1368750000000001</v>
      </c>
      <c r="C1730" s="157">
        <f t="shared" si="29"/>
        <v>349.99</v>
      </c>
    </row>
    <row r="1731" spans="1:3" x14ac:dyDescent="0.25">
      <c r="A1731" s="15">
        <f t="shared" si="30"/>
        <v>45189</v>
      </c>
      <c r="B1731" s="72">
        <f t="shared" si="28"/>
        <v>1.1368750000000001</v>
      </c>
      <c r="C1731" s="157">
        <f t="shared" si="29"/>
        <v>349.99</v>
      </c>
    </row>
    <row r="1732" spans="1:3" x14ac:dyDescent="0.25">
      <c r="A1732" s="15">
        <f t="shared" si="30"/>
        <v>45190</v>
      </c>
      <c r="B1732" s="72">
        <f t="shared" si="28"/>
        <v>1.1368750000000001</v>
      </c>
      <c r="C1732" s="157">
        <f t="shared" si="29"/>
        <v>349.99</v>
      </c>
    </row>
    <row r="1733" spans="1:3" x14ac:dyDescent="0.25">
      <c r="A1733" s="15">
        <f t="shared" si="30"/>
        <v>45191</v>
      </c>
      <c r="B1733" s="72">
        <f t="shared" si="28"/>
        <v>1.1368750000000001</v>
      </c>
      <c r="C1733" s="157">
        <f t="shared" si="29"/>
        <v>349.99</v>
      </c>
    </row>
    <row r="1734" spans="1:3" x14ac:dyDescent="0.25">
      <c r="A1734" s="15">
        <f t="shared" si="30"/>
        <v>45194</v>
      </c>
      <c r="B1734" s="72">
        <f t="shared" si="28"/>
        <v>1.1368750000000001</v>
      </c>
      <c r="C1734" s="157">
        <f t="shared" si="29"/>
        <v>349.99</v>
      </c>
    </row>
    <row r="1735" spans="1:3" x14ac:dyDescent="0.25">
      <c r="A1735" s="15">
        <f t="shared" si="30"/>
        <v>45195</v>
      </c>
      <c r="B1735" s="72">
        <f t="shared" si="28"/>
        <v>1.1368750000000001</v>
      </c>
      <c r="C1735" s="157">
        <f t="shared" si="29"/>
        <v>349.99</v>
      </c>
    </row>
    <row r="1736" spans="1:3" x14ac:dyDescent="0.25">
      <c r="A1736" s="15">
        <f t="shared" si="30"/>
        <v>45196</v>
      </c>
      <c r="B1736" s="72">
        <f t="shared" si="28"/>
        <v>1.1368750000000001</v>
      </c>
      <c r="C1736" s="157">
        <f t="shared" si="29"/>
        <v>349.99</v>
      </c>
    </row>
    <row r="1737" spans="1:3" x14ac:dyDescent="0.25">
      <c r="A1737" s="15">
        <f t="shared" si="30"/>
        <v>45197</v>
      </c>
      <c r="B1737" s="72">
        <f t="shared" si="28"/>
        <v>1.1368750000000001</v>
      </c>
      <c r="C1737" s="157">
        <f t="shared" si="29"/>
        <v>349.99</v>
      </c>
    </row>
    <row r="1738" spans="1:3" x14ac:dyDescent="0.25">
      <c r="A1738" s="15">
        <f t="shared" si="30"/>
        <v>45198</v>
      </c>
      <c r="B1738" s="72">
        <f t="shared" si="28"/>
        <v>1.1368750000000001</v>
      </c>
      <c r="C1738" s="157">
        <f t="shared" si="29"/>
        <v>349.99</v>
      </c>
    </row>
    <row r="1739" spans="1:3" x14ac:dyDescent="0.25">
      <c r="A1739" s="15">
        <f t="shared" si="30"/>
        <v>45201</v>
      </c>
      <c r="B1739" s="72">
        <v>1.1443749999999999</v>
      </c>
      <c r="C1739" s="157">
        <v>350.03</v>
      </c>
    </row>
    <row r="1740" spans="1:3" x14ac:dyDescent="0.25">
      <c r="A1740" s="15">
        <f t="shared" si="30"/>
        <v>45202</v>
      </c>
      <c r="B1740" s="72">
        <f t="shared" ref="B1740:B1802" si="31">+B1739</f>
        <v>1.1443749999999999</v>
      </c>
      <c r="C1740" s="157">
        <f t="shared" ref="C1740:C1803" si="32">+C1739</f>
        <v>350.03</v>
      </c>
    </row>
    <row r="1741" spans="1:3" x14ac:dyDescent="0.25">
      <c r="A1741" s="15">
        <f t="shared" si="30"/>
        <v>45203</v>
      </c>
      <c r="B1741" s="72">
        <f t="shared" si="31"/>
        <v>1.1443749999999999</v>
      </c>
      <c r="C1741" s="157">
        <f t="shared" si="32"/>
        <v>350.03</v>
      </c>
    </row>
    <row r="1742" spans="1:3" x14ac:dyDescent="0.25">
      <c r="A1742" s="15">
        <f t="shared" si="30"/>
        <v>45204</v>
      </c>
      <c r="B1742" s="72">
        <f t="shared" si="31"/>
        <v>1.1443749999999999</v>
      </c>
      <c r="C1742" s="157">
        <f t="shared" si="32"/>
        <v>350.03</v>
      </c>
    </row>
    <row r="1743" spans="1:3" x14ac:dyDescent="0.25">
      <c r="A1743" s="15">
        <f t="shared" si="30"/>
        <v>45205</v>
      </c>
      <c r="B1743" s="72">
        <f t="shared" si="31"/>
        <v>1.1443749999999999</v>
      </c>
      <c r="C1743" s="157">
        <f t="shared" si="32"/>
        <v>350.03</v>
      </c>
    </row>
    <row r="1744" spans="1:3" x14ac:dyDescent="0.25">
      <c r="A1744" s="15">
        <f t="shared" si="30"/>
        <v>45208</v>
      </c>
      <c r="B1744" s="72">
        <v>1.18</v>
      </c>
      <c r="C1744" s="157">
        <v>350.03</v>
      </c>
    </row>
    <row r="1745" spans="1:3" x14ac:dyDescent="0.25">
      <c r="A1745" s="15">
        <f t="shared" si="30"/>
        <v>45209</v>
      </c>
      <c r="B1745" s="72">
        <f t="shared" si="31"/>
        <v>1.18</v>
      </c>
      <c r="C1745" s="157">
        <f t="shared" si="32"/>
        <v>350.03</v>
      </c>
    </row>
    <row r="1746" spans="1:3" x14ac:dyDescent="0.25">
      <c r="A1746" s="15">
        <f t="shared" si="30"/>
        <v>45210</v>
      </c>
      <c r="B1746" s="72">
        <v>1.1475</v>
      </c>
      <c r="C1746" s="157">
        <f t="shared" si="32"/>
        <v>350.03</v>
      </c>
    </row>
    <row r="1747" spans="1:3" x14ac:dyDescent="0.25">
      <c r="A1747" s="15">
        <f t="shared" si="30"/>
        <v>45211</v>
      </c>
      <c r="B1747" s="72">
        <f t="shared" si="31"/>
        <v>1.1475</v>
      </c>
      <c r="C1747" s="157">
        <f t="shared" si="32"/>
        <v>350.03</v>
      </c>
    </row>
    <row r="1748" spans="1:3" x14ac:dyDescent="0.25">
      <c r="A1748" s="15">
        <f t="shared" si="30"/>
        <v>45212</v>
      </c>
      <c r="B1748" s="72">
        <f t="shared" si="31"/>
        <v>1.1475</v>
      </c>
      <c r="C1748" s="157">
        <f t="shared" si="32"/>
        <v>350.03</v>
      </c>
    </row>
    <row r="1749" spans="1:3" x14ac:dyDescent="0.25">
      <c r="A1749" s="15">
        <f t="shared" si="30"/>
        <v>45215</v>
      </c>
      <c r="B1749" s="72">
        <f t="shared" si="31"/>
        <v>1.1475</v>
      </c>
      <c r="C1749" s="157">
        <f t="shared" si="32"/>
        <v>350.03</v>
      </c>
    </row>
    <row r="1750" spans="1:3" x14ac:dyDescent="0.25">
      <c r="A1750" s="15">
        <f t="shared" si="30"/>
        <v>45216</v>
      </c>
      <c r="B1750" s="72">
        <f t="shared" si="31"/>
        <v>1.1475</v>
      </c>
      <c r="C1750" s="157">
        <f t="shared" si="32"/>
        <v>350.03</v>
      </c>
    </row>
    <row r="1751" spans="1:3" x14ac:dyDescent="0.25">
      <c r="A1751" s="15">
        <f t="shared" si="30"/>
        <v>45217</v>
      </c>
      <c r="B1751" s="72">
        <f t="shared" si="31"/>
        <v>1.1475</v>
      </c>
      <c r="C1751" s="157">
        <f t="shared" si="32"/>
        <v>350.03</v>
      </c>
    </row>
    <row r="1752" spans="1:3" x14ac:dyDescent="0.25">
      <c r="A1752" s="15">
        <f t="shared" si="30"/>
        <v>45218</v>
      </c>
      <c r="B1752" s="72">
        <f t="shared" si="31"/>
        <v>1.1475</v>
      </c>
      <c r="C1752" s="157">
        <f t="shared" si="32"/>
        <v>350.03</v>
      </c>
    </row>
    <row r="1753" spans="1:3" x14ac:dyDescent="0.25">
      <c r="A1753" s="15">
        <f t="shared" si="30"/>
        <v>45219</v>
      </c>
      <c r="B1753" s="72">
        <v>1.288125</v>
      </c>
      <c r="C1753" s="157">
        <f t="shared" si="32"/>
        <v>350.03</v>
      </c>
    </row>
    <row r="1754" spans="1:3" x14ac:dyDescent="0.25">
      <c r="A1754" s="15">
        <f t="shared" si="30"/>
        <v>45222</v>
      </c>
      <c r="B1754" s="72">
        <f t="shared" si="31"/>
        <v>1.288125</v>
      </c>
      <c r="C1754" s="157">
        <v>350</v>
      </c>
    </row>
    <row r="1755" spans="1:3" x14ac:dyDescent="0.25">
      <c r="A1755" s="15">
        <f t="shared" si="30"/>
        <v>45223</v>
      </c>
      <c r="B1755" s="72">
        <f t="shared" si="31"/>
        <v>1.288125</v>
      </c>
      <c r="C1755" s="157">
        <f t="shared" si="32"/>
        <v>350</v>
      </c>
    </row>
    <row r="1756" spans="1:3" x14ac:dyDescent="0.25">
      <c r="A1756" s="15">
        <f t="shared" si="30"/>
        <v>45224</v>
      </c>
      <c r="B1756" s="72">
        <f t="shared" si="31"/>
        <v>1.288125</v>
      </c>
      <c r="C1756" s="157">
        <f t="shared" si="32"/>
        <v>350</v>
      </c>
    </row>
    <row r="1757" spans="1:3" x14ac:dyDescent="0.25">
      <c r="A1757" s="15">
        <f t="shared" si="30"/>
        <v>45225</v>
      </c>
      <c r="B1757" s="72">
        <v>1.2818750000000001</v>
      </c>
      <c r="C1757" s="157">
        <f t="shared" si="32"/>
        <v>350</v>
      </c>
    </row>
    <row r="1758" spans="1:3" x14ac:dyDescent="0.25">
      <c r="A1758" s="15">
        <f t="shared" si="30"/>
        <v>45226</v>
      </c>
      <c r="B1758" s="72">
        <f t="shared" si="31"/>
        <v>1.2818750000000001</v>
      </c>
      <c r="C1758" s="157">
        <f t="shared" si="32"/>
        <v>350</v>
      </c>
    </row>
    <row r="1759" spans="1:3" x14ac:dyDescent="0.25">
      <c r="A1759" s="15">
        <f t="shared" si="30"/>
        <v>45229</v>
      </c>
      <c r="B1759" s="72">
        <f t="shared" si="31"/>
        <v>1.2818750000000001</v>
      </c>
      <c r="C1759" s="157">
        <v>350.01</v>
      </c>
    </row>
    <row r="1760" spans="1:3" x14ac:dyDescent="0.25">
      <c r="A1760" s="15">
        <f t="shared" si="30"/>
        <v>45230</v>
      </c>
      <c r="B1760" s="72">
        <f t="shared" si="31"/>
        <v>1.2818750000000001</v>
      </c>
      <c r="C1760" s="157">
        <f t="shared" si="32"/>
        <v>350.01</v>
      </c>
    </row>
    <row r="1761" spans="1:3" x14ac:dyDescent="0.25">
      <c r="A1761" s="15">
        <f t="shared" si="30"/>
        <v>45231</v>
      </c>
      <c r="B1761" s="72">
        <f t="shared" si="31"/>
        <v>1.2818750000000001</v>
      </c>
      <c r="C1761" s="157">
        <f t="shared" si="32"/>
        <v>350.01</v>
      </c>
    </row>
    <row r="1762" spans="1:3" x14ac:dyDescent="0.25">
      <c r="A1762" s="15">
        <f t="shared" si="30"/>
        <v>45232</v>
      </c>
      <c r="B1762" s="72">
        <f t="shared" si="31"/>
        <v>1.2818750000000001</v>
      </c>
      <c r="C1762" s="157">
        <f t="shared" si="32"/>
        <v>350.01</v>
      </c>
    </row>
    <row r="1763" spans="1:3" x14ac:dyDescent="0.25">
      <c r="A1763" s="15">
        <f t="shared" si="30"/>
        <v>45233</v>
      </c>
      <c r="B1763" s="72">
        <f t="shared" si="31"/>
        <v>1.2818750000000001</v>
      </c>
      <c r="C1763" s="157">
        <f t="shared" si="32"/>
        <v>350.01</v>
      </c>
    </row>
    <row r="1764" spans="1:3" x14ac:dyDescent="0.25">
      <c r="A1764" s="15">
        <f t="shared" si="30"/>
        <v>45236</v>
      </c>
      <c r="B1764" s="72">
        <f t="shared" si="31"/>
        <v>1.2818750000000001</v>
      </c>
      <c r="C1764" s="157">
        <f t="shared" si="32"/>
        <v>350.01</v>
      </c>
    </row>
    <row r="1765" spans="1:3" x14ac:dyDescent="0.25">
      <c r="A1765" s="15">
        <f t="shared" si="30"/>
        <v>45237</v>
      </c>
      <c r="B1765" s="72">
        <f t="shared" si="31"/>
        <v>1.2818750000000001</v>
      </c>
      <c r="C1765" s="157">
        <f t="shared" si="32"/>
        <v>350.01</v>
      </c>
    </row>
    <row r="1766" spans="1:3" x14ac:dyDescent="0.25">
      <c r="A1766" s="15">
        <f t="shared" si="30"/>
        <v>45238</v>
      </c>
      <c r="B1766" s="72">
        <f t="shared" si="31"/>
        <v>1.2818750000000001</v>
      </c>
      <c r="C1766" s="157">
        <f t="shared" si="32"/>
        <v>350.01</v>
      </c>
    </row>
    <row r="1767" spans="1:3" x14ac:dyDescent="0.25">
      <c r="A1767" s="15">
        <f t="shared" si="30"/>
        <v>45239</v>
      </c>
      <c r="B1767" s="72">
        <v>1.29</v>
      </c>
      <c r="C1767" s="157">
        <f t="shared" si="32"/>
        <v>350.01</v>
      </c>
    </row>
    <row r="1768" spans="1:3" x14ac:dyDescent="0.25">
      <c r="A1768" s="15">
        <f t="shared" si="30"/>
        <v>45240</v>
      </c>
      <c r="B1768" s="72">
        <f t="shared" si="31"/>
        <v>1.29</v>
      </c>
      <c r="C1768" s="157">
        <v>350</v>
      </c>
    </row>
    <row r="1769" spans="1:3" x14ac:dyDescent="0.25">
      <c r="A1769" s="15">
        <f t="shared" si="30"/>
        <v>45243</v>
      </c>
      <c r="B1769" s="72">
        <f t="shared" si="31"/>
        <v>1.29</v>
      </c>
      <c r="C1769" s="157">
        <f t="shared" si="32"/>
        <v>350</v>
      </c>
    </row>
    <row r="1770" spans="1:3" x14ac:dyDescent="0.25">
      <c r="A1770" s="15">
        <f t="shared" si="30"/>
        <v>45244</v>
      </c>
      <c r="B1770" s="72">
        <f t="shared" si="31"/>
        <v>1.29</v>
      </c>
      <c r="C1770" s="157">
        <f t="shared" si="32"/>
        <v>350</v>
      </c>
    </row>
    <row r="1771" spans="1:3" x14ac:dyDescent="0.25">
      <c r="A1771" s="15">
        <f t="shared" si="30"/>
        <v>45245</v>
      </c>
      <c r="B1771" s="72">
        <f t="shared" si="31"/>
        <v>1.29</v>
      </c>
      <c r="C1771" s="157">
        <f t="shared" si="32"/>
        <v>350</v>
      </c>
    </row>
    <row r="1772" spans="1:3" x14ac:dyDescent="0.25">
      <c r="A1772" s="15">
        <f t="shared" si="30"/>
        <v>45246</v>
      </c>
      <c r="B1772" s="72">
        <v>1.2987500000000001</v>
      </c>
      <c r="C1772" s="157">
        <f t="shared" si="32"/>
        <v>350</v>
      </c>
    </row>
    <row r="1773" spans="1:3" x14ac:dyDescent="0.25">
      <c r="A1773" s="15">
        <f t="shared" si="30"/>
        <v>45247</v>
      </c>
      <c r="B1773" s="72">
        <f t="shared" si="31"/>
        <v>1.2987500000000001</v>
      </c>
      <c r="C1773" s="157">
        <v>354.01</v>
      </c>
    </row>
    <row r="1774" spans="1:3" x14ac:dyDescent="0.25">
      <c r="A1774" s="15">
        <f t="shared" si="30"/>
        <v>45250</v>
      </c>
      <c r="B1774" s="72">
        <f t="shared" si="31"/>
        <v>1.2987500000000001</v>
      </c>
      <c r="C1774" s="157">
        <f t="shared" si="32"/>
        <v>354.01</v>
      </c>
    </row>
    <row r="1775" spans="1:3" x14ac:dyDescent="0.25">
      <c r="A1775" s="15">
        <f t="shared" si="30"/>
        <v>45251</v>
      </c>
      <c r="B1775" s="72">
        <f t="shared" si="31"/>
        <v>1.2987500000000001</v>
      </c>
      <c r="C1775" s="157">
        <f t="shared" si="32"/>
        <v>354.01</v>
      </c>
    </row>
    <row r="1776" spans="1:3" x14ac:dyDescent="0.25">
      <c r="A1776" s="15">
        <f t="shared" si="30"/>
        <v>45252</v>
      </c>
      <c r="B1776" s="72">
        <f t="shared" si="31"/>
        <v>1.2987500000000001</v>
      </c>
      <c r="C1776" s="157">
        <f t="shared" si="32"/>
        <v>354.01</v>
      </c>
    </row>
    <row r="1777" spans="1:3" x14ac:dyDescent="0.25">
      <c r="A1777" s="15">
        <f t="shared" si="30"/>
        <v>45253</v>
      </c>
      <c r="B1777" s="72">
        <f t="shared" si="31"/>
        <v>1.2987500000000001</v>
      </c>
      <c r="C1777" s="157">
        <f t="shared" si="32"/>
        <v>354.01</v>
      </c>
    </row>
    <row r="1778" spans="1:3" x14ac:dyDescent="0.25">
      <c r="A1778" s="15">
        <f t="shared" si="30"/>
        <v>45254</v>
      </c>
      <c r="B1778" s="72">
        <f t="shared" si="31"/>
        <v>1.2987500000000001</v>
      </c>
      <c r="C1778" s="157">
        <f t="shared" si="32"/>
        <v>354.01</v>
      </c>
    </row>
    <row r="1779" spans="1:3" x14ac:dyDescent="0.25">
      <c r="A1779" s="15">
        <f t="shared" si="30"/>
        <v>45257</v>
      </c>
      <c r="B1779" s="72">
        <f t="shared" si="31"/>
        <v>1.2987500000000001</v>
      </c>
      <c r="C1779" s="157">
        <f t="shared" si="32"/>
        <v>354.01</v>
      </c>
    </row>
    <row r="1780" spans="1:3" x14ac:dyDescent="0.25">
      <c r="A1780" s="15">
        <f t="shared" si="30"/>
        <v>45258</v>
      </c>
      <c r="B1780" s="72">
        <f t="shared" si="31"/>
        <v>1.2987500000000001</v>
      </c>
      <c r="C1780" s="157">
        <f t="shared" si="32"/>
        <v>354.01</v>
      </c>
    </row>
    <row r="1781" spans="1:3" x14ac:dyDescent="0.25">
      <c r="A1781" s="15">
        <f t="shared" si="30"/>
        <v>45259</v>
      </c>
      <c r="B1781" s="72">
        <f t="shared" si="31"/>
        <v>1.2987500000000001</v>
      </c>
      <c r="C1781" s="157">
        <f t="shared" si="32"/>
        <v>354.01</v>
      </c>
    </row>
    <row r="1782" spans="1:3" x14ac:dyDescent="0.25">
      <c r="A1782" s="15">
        <f t="shared" si="30"/>
        <v>45260</v>
      </c>
      <c r="B1782" s="72">
        <v>1.2987500000000001</v>
      </c>
      <c r="C1782" s="157">
        <f t="shared" si="32"/>
        <v>354.01</v>
      </c>
    </row>
    <row r="1783" spans="1:3" x14ac:dyDescent="0.25">
      <c r="A1783" s="15">
        <f t="shared" si="30"/>
        <v>45261</v>
      </c>
      <c r="B1783" s="72">
        <f t="shared" si="31"/>
        <v>1.2987500000000001</v>
      </c>
      <c r="C1783" s="157">
        <f t="shared" si="32"/>
        <v>354.01</v>
      </c>
    </row>
    <row r="1784" spans="1:3" x14ac:dyDescent="0.25">
      <c r="A1784" s="15">
        <f t="shared" si="30"/>
        <v>45264</v>
      </c>
      <c r="B1784" s="72">
        <f t="shared" si="31"/>
        <v>1.2987500000000001</v>
      </c>
      <c r="C1784" s="157">
        <v>361.03</v>
      </c>
    </row>
    <row r="1785" spans="1:3" x14ac:dyDescent="0.25">
      <c r="A1785" s="15">
        <f t="shared" si="30"/>
        <v>45265</v>
      </c>
      <c r="B1785" s="72">
        <f t="shared" si="31"/>
        <v>1.2987500000000001</v>
      </c>
      <c r="C1785" s="157">
        <f t="shared" si="32"/>
        <v>361.03</v>
      </c>
    </row>
    <row r="1786" spans="1:3" x14ac:dyDescent="0.25">
      <c r="A1786" s="15">
        <f t="shared" si="30"/>
        <v>45266</v>
      </c>
      <c r="B1786" s="72">
        <v>1.29125</v>
      </c>
      <c r="C1786" s="157">
        <f t="shared" si="32"/>
        <v>361.03</v>
      </c>
    </row>
    <row r="1787" spans="1:3" x14ac:dyDescent="0.25">
      <c r="A1787" s="15">
        <f t="shared" si="30"/>
        <v>45267</v>
      </c>
      <c r="B1787" s="72">
        <f t="shared" si="31"/>
        <v>1.29125</v>
      </c>
      <c r="C1787" s="157">
        <v>364.41</v>
      </c>
    </row>
    <row r="1788" spans="1:3" x14ac:dyDescent="0.25">
      <c r="A1788" s="15">
        <f t="shared" ref="A1788:A1851" si="33">+WORKDAY.INTL(A1787,1,1,)</f>
        <v>45268</v>
      </c>
      <c r="B1788" s="72">
        <f t="shared" si="31"/>
        <v>1.29125</v>
      </c>
      <c r="C1788" s="157">
        <f t="shared" si="32"/>
        <v>364.41</v>
      </c>
    </row>
    <row r="1789" spans="1:3" x14ac:dyDescent="0.25">
      <c r="A1789" s="15">
        <f t="shared" si="33"/>
        <v>45271</v>
      </c>
      <c r="B1789" s="72">
        <f t="shared" si="31"/>
        <v>1.29125</v>
      </c>
      <c r="C1789" s="157">
        <f t="shared" si="32"/>
        <v>364.41</v>
      </c>
    </row>
    <row r="1790" spans="1:3" x14ac:dyDescent="0.25">
      <c r="A1790" s="15">
        <f t="shared" si="33"/>
        <v>45272</v>
      </c>
      <c r="B1790" s="72">
        <f t="shared" si="31"/>
        <v>1.29125</v>
      </c>
      <c r="C1790" s="157">
        <f t="shared" si="32"/>
        <v>364.41</v>
      </c>
    </row>
    <row r="1791" spans="1:3" x14ac:dyDescent="0.25">
      <c r="A1791" s="15">
        <f t="shared" si="33"/>
        <v>45273</v>
      </c>
      <c r="B1791" s="72">
        <f t="shared" si="31"/>
        <v>1.29125</v>
      </c>
      <c r="C1791" s="157">
        <f t="shared" si="32"/>
        <v>364.41</v>
      </c>
    </row>
    <row r="1792" spans="1:3" x14ac:dyDescent="0.25">
      <c r="A1792" s="15">
        <f t="shared" si="33"/>
        <v>45274</v>
      </c>
      <c r="B1792" s="72">
        <v>1.2787500000000001</v>
      </c>
      <c r="C1792" s="157">
        <f t="shared" si="32"/>
        <v>364.41</v>
      </c>
    </row>
    <row r="1793" spans="1:3" x14ac:dyDescent="0.25">
      <c r="A1793" s="15">
        <f t="shared" si="33"/>
        <v>45275</v>
      </c>
      <c r="B1793" s="72">
        <f t="shared" si="31"/>
        <v>1.2787500000000001</v>
      </c>
      <c r="C1793" s="157">
        <v>801.08</v>
      </c>
    </row>
    <row r="1794" spans="1:3" x14ac:dyDescent="0.25">
      <c r="A1794" s="15">
        <f t="shared" si="33"/>
        <v>45278</v>
      </c>
      <c r="B1794" s="72">
        <f t="shared" si="31"/>
        <v>1.2787500000000001</v>
      </c>
      <c r="C1794" s="157">
        <f t="shared" si="32"/>
        <v>801.08</v>
      </c>
    </row>
    <row r="1795" spans="1:3" x14ac:dyDescent="0.25">
      <c r="A1795" s="15">
        <f t="shared" si="33"/>
        <v>45279</v>
      </c>
      <c r="B1795" s="72">
        <f t="shared" si="31"/>
        <v>1.2787500000000001</v>
      </c>
      <c r="C1795" s="157">
        <f t="shared" si="32"/>
        <v>801.08</v>
      </c>
    </row>
    <row r="1796" spans="1:3" x14ac:dyDescent="0.25">
      <c r="A1796" s="15">
        <f t="shared" si="33"/>
        <v>45280</v>
      </c>
      <c r="B1796" s="72">
        <f t="shared" si="31"/>
        <v>1.2787500000000001</v>
      </c>
      <c r="C1796" s="157">
        <f t="shared" si="32"/>
        <v>801.08</v>
      </c>
    </row>
    <row r="1797" spans="1:3" x14ac:dyDescent="0.25">
      <c r="A1797" s="15">
        <f t="shared" si="33"/>
        <v>45281</v>
      </c>
      <c r="B1797" s="72">
        <f t="shared" si="31"/>
        <v>1.2787500000000001</v>
      </c>
      <c r="C1797" s="157">
        <f t="shared" si="32"/>
        <v>801.08</v>
      </c>
    </row>
    <row r="1798" spans="1:3" x14ac:dyDescent="0.25">
      <c r="A1798" s="15">
        <f t="shared" si="33"/>
        <v>45282</v>
      </c>
      <c r="B1798" s="72">
        <f t="shared" si="31"/>
        <v>1.2787500000000001</v>
      </c>
      <c r="C1798" s="157">
        <f t="shared" si="32"/>
        <v>801.08</v>
      </c>
    </row>
    <row r="1799" spans="1:3" x14ac:dyDescent="0.25">
      <c r="A1799" s="15">
        <f t="shared" si="33"/>
        <v>45285</v>
      </c>
      <c r="B1799" s="72">
        <f t="shared" si="31"/>
        <v>1.2787500000000001</v>
      </c>
      <c r="C1799" s="157">
        <f t="shared" si="32"/>
        <v>801.08</v>
      </c>
    </row>
    <row r="1800" spans="1:3" x14ac:dyDescent="0.25">
      <c r="A1800" s="15">
        <f t="shared" si="33"/>
        <v>45286</v>
      </c>
      <c r="B1800" s="72">
        <f t="shared" si="31"/>
        <v>1.2787500000000001</v>
      </c>
      <c r="C1800" s="157">
        <f t="shared" si="32"/>
        <v>801.08</v>
      </c>
    </row>
    <row r="1801" spans="1:3" x14ac:dyDescent="0.25">
      <c r="A1801" s="15">
        <f t="shared" si="33"/>
        <v>45287</v>
      </c>
      <c r="B1801" s="72">
        <v>1.0900000000000001</v>
      </c>
      <c r="C1801" s="157">
        <f t="shared" si="32"/>
        <v>801.08</v>
      </c>
    </row>
    <row r="1802" spans="1:3" x14ac:dyDescent="0.25">
      <c r="A1802" s="15">
        <f t="shared" si="33"/>
        <v>45288</v>
      </c>
      <c r="B1802" s="72">
        <f t="shared" si="31"/>
        <v>1.0900000000000001</v>
      </c>
      <c r="C1802" s="157">
        <v>808.48</v>
      </c>
    </row>
    <row r="1803" spans="1:3" x14ac:dyDescent="0.25">
      <c r="A1803" s="15">
        <f t="shared" si="33"/>
        <v>45289</v>
      </c>
      <c r="B1803" s="72">
        <f t="shared" ref="B1803:B1866" si="34">+B1802</f>
        <v>1.0900000000000001</v>
      </c>
      <c r="C1803" s="157">
        <f t="shared" si="32"/>
        <v>808.48</v>
      </c>
    </row>
    <row r="1804" spans="1:3" x14ac:dyDescent="0.25">
      <c r="A1804" s="15">
        <f t="shared" si="33"/>
        <v>45292</v>
      </c>
      <c r="B1804" s="72">
        <f t="shared" si="34"/>
        <v>1.0900000000000001</v>
      </c>
      <c r="C1804" s="157">
        <f t="shared" ref="C1804:C1867" si="35">+C1803</f>
        <v>808.48</v>
      </c>
    </row>
    <row r="1805" spans="1:3" x14ac:dyDescent="0.25">
      <c r="A1805" s="15">
        <f t="shared" si="33"/>
        <v>45293</v>
      </c>
      <c r="B1805" s="72">
        <f t="shared" si="34"/>
        <v>1.0900000000000001</v>
      </c>
      <c r="C1805" s="157">
        <f t="shared" si="35"/>
        <v>808.48</v>
      </c>
    </row>
    <row r="1806" spans="1:3" x14ac:dyDescent="0.25">
      <c r="A1806" s="15">
        <f t="shared" si="33"/>
        <v>45294</v>
      </c>
      <c r="B1806" s="72">
        <f t="shared" si="34"/>
        <v>1.0900000000000001</v>
      </c>
      <c r="C1806" s="157">
        <f t="shared" si="35"/>
        <v>808.48</v>
      </c>
    </row>
    <row r="1807" spans="1:3" x14ac:dyDescent="0.25">
      <c r="A1807" s="15">
        <f t="shared" si="33"/>
        <v>45295</v>
      </c>
      <c r="B1807" s="72">
        <f t="shared" si="34"/>
        <v>1.0900000000000001</v>
      </c>
      <c r="C1807" s="157">
        <f t="shared" si="35"/>
        <v>808.48</v>
      </c>
    </row>
    <row r="1808" spans="1:3" ht="15.75" x14ac:dyDescent="0.25">
      <c r="A1808" s="15">
        <f t="shared" si="33"/>
        <v>45296</v>
      </c>
      <c r="B1808" s="72">
        <f t="shared" si="34"/>
        <v>1.0900000000000001</v>
      </c>
      <c r="C1808" s="529">
        <v>812.25</v>
      </c>
    </row>
    <row r="1809" spans="1:3" x14ac:dyDescent="0.25">
      <c r="A1809" s="15">
        <f t="shared" si="33"/>
        <v>45299</v>
      </c>
      <c r="B1809" s="72">
        <f t="shared" si="34"/>
        <v>1.0900000000000001</v>
      </c>
      <c r="C1809" s="157">
        <f t="shared" si="35"/>
        <v>812.25</v>
      </c>
    </row>
    <row r="1810" spans="1:3" x14ac:dyDescent="0.25">
      <c r="A1810" s="15">
        <f t="shared" si="33"/>
        <v>45300</v>
      </c>
      <c r="B1810" s="72">
        <f t="shared" si="34"/>
        <v>1.0900000000000001</v>
      </c>
      <c r="C1810" s="157">
        <f t="shared" si="35"/>
        <v>812.25</v>
      </c>
    </row>
    <row r="1811" spans="1:3" x14ac:dyDescent="0.25">
      <c r="A1811" s="15">
        <f t="shared" si="33"/>
        <v>45301</v>
      </c>
      <c r="B1811" s="72">
        <f t="shared" si="34"/>
        <v>1.0900000000000001</v>
      </c>
      <c r="C1811" s="157">
        <f t="shared" si="35"/>
        <v>812.25</v>
      </c>
    </row>
    <row r="1812" spans="1:3" x14ac:dyDescent="0.25">
      <c r="A1812" s="15">
        <f t="shared" si="33"/>
        <v>45302</v>
      </c>
      <c r="B1812" s="72">
        <f t="shared" si="34"/>
        <v>1.0900000000000001</v>
      </c>
      <c r="C1812" s="157">
        <f t="shared" si="35"/>
        <v>812.25</v>
      </c>
    </row>
    <row r="1813" spans="1:3" x14ac:dyDescent="0.25">
      <c r="A1813" s="15">
        <f t="shared" si="33"/>
        <v>45303</v>
      </c>
      <c r="B1813" s="72">
        <v>1.09375</v>
      </c>
      <c r="C1813" s="157">
        <f t="shared" si="35"/>
        <v>812.25</v>
      </c>
    </row>
    <row r="1814" spans="1:3" ht="15.75" x14ac:dyDescent="0.25">
      <c r="A1814" s="15">
        <f t="shared" si="33"/>
        <v>45306</v>
      </c>
      <c r="B1814" s="72">
        <f t="shared" si="34"/>
        <v>1.09375</v>
      </c>
      <c r="C1814" s="529">
        <v>817.65</v>
      </c>
    </row>
    <row r="1815" spans="1:3" x14ac:dyDescent="0.25">
      <c r="A1815" s="15">
        <f t="shared" si="33"/>
        <v>45307</v>
      </c>
      <c r="B1815" s="72">
        <f t="shared" si="34"/>
        <v>1.09375</v>
      </c>
      <c r="C1815" s="157">
        <f t="shared" si="35"/>
        <v>817.65</v>
      </c>
    </row>
    <row r="1816" spans="1:3" x14ac:dyDescent="0.25">
      <c r="A1816" s="15">
        <f t="shared" si="33"/>
        <v>45308</v>
      </c>
      <c r="B1816" s="72">
        <f t="shared" si="34"/>
        <v>1.09375</v>
      </c>
      <c r="C1816" s="157">
        <f t="shared" si="35"/>
        <v>817.65</v>
      </c>
    </row>
    <row r="1817" spans="1:3" x14ac:dyDescent="0.25">
      <c r="A1817" s="15">
        <f t="shared" si="33"/>
        <v>45309</v>
      </c>
      <c r="B1817" s="72">
        <f t="shared" si="34"/>
        <v>1.09375</v>
      </c>
      <c r="C1817" s="157">
        <f t="shared" si="35"/>
        <v>817.65</v>
      </c>
    </row>
    <row r="1818" spans="1:3" x14ac:dyDescent="0.25">
      <c r="A1818" s="15">
        <f t="shared" si="33"/>
        <v>45310</v>
      </c>
      <c r="B1818" s="72">
        <v>1.096875</v>
      </c>
      <c r="C1818" s="157">
        <f t="shared" si="35"/>
        <v>817.65</v>
      </c>
    </row>
    <row r="1819" spans="1:3" x14ac:dyDescent="0.25">
      <c r="A1819" s="15">
        <f t="shared" si="33"/>
        <v>45313</v>
      </c>
      <c r="B1819" s="72">
        <f t="shared" si="34"/>
        <v>1.096875</v>
      </c>
      <c r="C1819" s="157">
        <v>821.45</v>
      </c>
    </row>
    <row r="1820" spans="1:3" x14ac:dyDescent="0.25">
      <c r="A1820" s="15">
        <f t="shared" si="33"/>
        <v>45314</v>
      </c>
      <c r="B1820" s="72">
        <f t="shared" si="34"/>
        <v>1.096875</v>
      </c>
      <c r="C1820" s="157">
        <f t="shared" si="35"/>
        <v>821.45</v>
      </c>
    </row>
    <row r="1821" spans="1:3" x14ac:dyDescent="0.25">
      <c r="A1821" s="15">
        <f t="shared" si="33"/>
        <v>45315</v>
      </c>
      <c r="B1821" s="72">
        <f t="shared" si="34"/>
        <v>1.096875</v>
      </c>
      <c r="C1821" s="157">
        <f t="shared" si="35"/>
        <v>821.45</v>
      </c>
    </row>
    <row r="1822" spans="1:3" x14ac:dyDescent="0.25">
      <c r="A1822" s="15">
        <f t="shared" si="33"/>
        <v>45316</v>
      </c>
      <c r="B1822" s="72">
        <f t="shared" si="34"/>
        <v>1.096875</v>
      </c>
      <c r="C1822" s="157">
        <f t="shared" si="35"/>
        <v>821.45</v>
      </c>
    </row>
    <row r="1823" spans="1:3" ht="15.75" x14ac:dyDescent="0.25">
      <c r="A1823" s="15">
        <f t="shared" si="33"/>
        <v>45317</v>
      </c>
      <c r="B1823" s="530">
        <v>1.0806249999999999</v>
      </c>
      <c r="C1823" s="157">
        <f t="shared" si="35"/>
        <v>821.45</v>
      </c>
    </row>
    <row r="1824" spans="1:3" ht="15.75" x14ac:dyDescent="0.25">
      <c r="A1824" s="15">
        <f t="shared" si="33"/>
        <v>45320</v>
      </c>
      <c r="B1824" s="72">
        <f t="shared" si="34"/>
        <v>1.0806249999999999</v>
      </c>
      <c r="C1824" s="529">
        <v>825.25</v>
      </c>
    </row>
    <row r="1825" spans="1:3" x14ac:dyDescent="0.25">
      <c r="A1825" s="15">
        <f t="shared" si="33"/>
        <v>45321</v>
      </c>
      <c r="B1825" s="72">
        <f t="shared" si="34"/>
        <v>1.0806249999999999</v>
      </c>
      <c r="C1825" s="157">
        <f t="shared" si="35"/>
        <v>825.25</v>
      </c>
    </row>
    <row r="1826" spans="1:3" x14ac:dyDescent="0.25">
      <c r="A1826" s="15">
        <f t="shared" si="33"/>
        <v>45322</v>
      </c>
      <c r="B1826" s="72">
        <f t="shared" si="34"/>
        <v>1.0806249999999999</v>
      </c>
      <c r="C1826" s="157">
        <f t="shared" si="35"/>
        <v>825.25</v>
      </c>
    </row>
    <row r="1827" spans="1:3" x14ac:dyDescent="0.25">
      <c r="A1827" s="15">
        <f t="shared" si="33"/>
        <v>45323</v>
      </c>
      <c r="B1827" s="72">
        <f t="shared" si="34"/>
        <v>1.0806249999999999</v>
      </c>
      <c r="C1827" s="157">
        <f t="shared" si="35"/>
        <v>825.25</v>
      </c>
    </row>
    <row r="1828" spans="1:3" ht="15.75" x14ac:dyDescent="0.25">
      <c r="A1828" s="15">
        <f t="shared" si="33"/>
        <v>45324</v>
      </c>
      <c r="B1828" s="530">
        <v>1.0887500000000001</v>
      </c>
      <c r="C1828" s="157">
        <f t="shared" si="35"/>
        <v>825.25</v>
      </c>
    </row>
    <row r="1829" spans="1:3" ht="15.75" x14ac:dyDescent="0.25">
      <c r="A1829" s="15">
        <f t="shared" si="33"/>
        <v>45327</v>
      </c>
      <c r="B1829" s="72">
        <f t="shared" si="34"/>
        <v>1.0887500000000001</v>
      </c>
      <c r="C1829" s="529">
        <v>829.05</v>
      </c>
    </row>
    <row r="1830" spans="1:3" x14ac:dyDescent="0.25">
      <c r="A1830" s="15">
        <f t="shared" si="33"/>
        <v>45328</v>
      </c>
      <c r="B1830" s="72">
        <f t="shared" si="34"/>
        <v>1.0887500000000001</v>
      </c>
      <c r="C1830" s="157">
        <f t="shared" si="35"/>
        <v>829.05</v>
      </c>
    </row>
    <row r="1831" spans="1:3" x14ac:dyDescent="0.25">
      <c r="A1831" s="15">
        <f t="shared" si="33"/>
        <v>45329</v>
      </c>
      <c r="B1831" s="72">
        <f t="shared" si="34"/>
        <v>1.0887500000000001</v>
      </c>
      <c r="C1831" s="157">
        <f t="shared" si="35"/>
        <v>829.05</v>
      </c>
    </row>
    <row r="1832" spans="1:3" ht="15.75" x14ac:dyDescent="0.25">
      <c r="A1832" s="15">
        <f t="shared" si="33"/>
        <v>45330</v>
      </c>
      <c r="B1832" s="530">
        <v>1.0943750000000001</v>
      </c>
      <c r="C1832" s="157">
        <f t="shared" si="35"/>
        <v>829.05</v>
      </c>
    </row>
    <row r="1833" spans="1:3" ht="15.75" x14ac:dyDescent="0.25">
      <c r="A1833" s="15">
        <f t="shared" si="33"/>
        <v>45331</v>
      </c>
      <c r="B1833" s="72">
        <f t="shared" si="34"/>
        <v>1.0943750000000001</v>
      </c>
      <c r="C1833" s="529">
        <v>831.25</v>
      </c>
    </row>
    <row r="1834" spans="1:3" x14ac:dyDescent="0.25">
      <c r="A1834" s="15">
        <f t="shared" si="33"/>
        <v>45334</v>
      </c>
      <c r="B1834" s="72">
        <f t="shared" si="34"/>
        <v>1.0943750000000001</v>
      </c>
      <c r="C1834" s="157">
        <f t="shared" si="35"/>
        <v>831.25</v>
      </c>
    </row>
    <row r="1835" spans="1:3" x14ac:dyDescent="0.25">
      <c r="A1835" s="15">
        <f t="shared" si="33"/>
        <v>45335</v>
      </c>
      <c r="B1835" s="72">
        <f t="shared" si="34"/>
        <v>1.0943750000000001</v>
      </c>
      <c r="C1835" s="157">
        <f t="shared" si="35"/>
        <v>831.25</v>
      </c>
    </row>
    <row r="1836" spans="1:3" x14ac:dyDescent="0.25">
      <c r="A1836" s="15">
        <f t="shared" si="33"/>
        <v>45336</v>
      </c>
      <c r="B1836" s="72">
        <f t="shared" si="34"/>
        <v>1.0943750000000001</v>
      </c>
      <c r="C1836" s="157">
        <f t="shared" si="35"/>
        <v>831.25</v>
      </c>
    </row>
    <row r="1837" spans="1:3" x14ac:dyDescent="0.25">
      <c r="A1837" s="15">
        <f t="shared" si="33"/>
        <v>45337</v>
      </c>
      <c r="B1837" s="72">
        <f t="shared" si="34"/>
        <v>1.0943750000000001</v>
      </c>
      <c r="C1837" s="157">
        <f t="shared" si="35"/>
        <v>831.25</v>
      </c>
    </row>
    <row r="1838" spans="1:3" ht="15.75" x14ac:dyDescent="0.25">
      <c r="A1838" s="15">
        <f t="shared" si="33"/>
        <v>45338</v>
      </c>
      <c r="B1838" s="530">
        <v>1.0912500000000001</v>
      </c>
      <c r="C1838" s="157">
        <f t="shared" si="35"/>
        <v>831.25</v>
      </c>
    </row>
    <row r="1839" spans="1:3" ht="15.75" x14ac:dyDescent="0.25">
      <c r="A1839" s="15">
        <f t="shared" si="33"/>
        <v>45341</v>
      </c>
      <c r="B1839" s="72">
        <f t="shared" si="34"/>
        <v>1.0912500000000001</v>
      </c>
      <c r="C1839" s="529">
        <v>836.75</v>
      </c>
    </row>
    <row r="1840" spans="1:3" x14ac:dyDescent="0.25">
      <c r="A1840" s="15">
        <f t="shared" si="33"/>
        <v>45342</v>
      </c>
      <c r="B1840" s="72">
        <f t="shared" si="34"/>
        <v>1.0912500000000001</v>
      </c>
      <c r="C1840" s="157">
        <f t="shared" si="35"/>
        <v>836.75</v>
      </c>
    </row>
    <row r="1841" spans="1:3" x14ac:dyDescent="0.25">
      <c r="A1841" s="15">
        <f t="shared" si="33"/>
        <v>45343</v>
      </c>
      <c r="B1841" s="72">
        <f t="shared" si="34"/>
        <v>1.0912500000000001</v>
      </c>
      <c r="C1841" s="157">
        <f t="shared" si="35"/>
        <v>836.75</v>
      </c>
    </row>
    <row r="1842" spans="1:3" x14ac:dyDescent="0.25">
      <c r="A1842" s="15">
        <f t="shared" si="33"/>
        <v>45344</v>
      </c>
      <c r="B1842" s="72">
        <f t="shared" si="34"/>
        <v>1.0912500000000001</v>
      </c>
      <c r="C1842" s="157">
        <f t="shared" si="35"/>
        <v>836.75</v>
      </c>
    </row>
    <row r="1843" spans="1:3" x14ac:dyDescent="0.25">
      <c r="A1843" s="15">
        <f t="shared" si="33"/>
        <v>45345</v>
      </c>
      <c r="B1843" s="72">
        <f t="shared" si="34"/>
        <v>1.0912500000000001</v>
      </c>
      <c r="C1843" s="157">
        <f t="shared" si="35"/>
        <v>836.75</v>
      </c>
    </row>
    <row r="1844" spans="1:3" ht="15.75" x14ac:dyDescent="0.25">
      <c r="A1844" s="15">
        <f t="shared" si="33"/>
        <v>45348</v>
      </c>
      <c r="B1844" s="530">
        <v>1.088125</v>
      </c>
      <c r="C1844" s="529">
        <v>841.15</v>
      </c>
    </row>
    <row r="1845" spans="1:3" x14ac:dyDescent="0.25">
      <c r="A1845" s="15">
        <f t="shared" si="33"/>
        <v>45349</v>
      </c>
      <c r="B1845" s="72">
        <f t="shared" si="34"/>
        <v>1.088125</v>
      </c>
      <c r="C1845" s="157">
        <f t="shared" si="35"/>
        <v>841.15</v>
      </c>
    </row>
    <row r="1846" spans="1:3" x14ac:dyDescent="0.25">
      <c r="A1846" s="15">
        <f t="shared" si="33"/>
        <v>45350</v>
      </c>
      <c r="B1846" s="72">
        <f t="shared" si="34"/>
        <v>1.088125</v>
      </c>
      <c r="C1846" s="157">
        <f t="shared" si="35"/>
        <v>841.15</v>
      </c>
    </row>
    <row r="1847" spans="1:3" x14ac:dyDescent="0.25">
      <c r="A1847" s="15">
        <f t="shared" si="33"/>
        <v>45351</v>
      </c>
      <c r="B1847" s="72">
        <f t="shared" si="34"/>
        <v>1.088125</v>
      </c>
      <c r="C1847" s="157">
        <f t="shared" si="35"/>
        <v>841.15</v>
      </c>
    </row>
    <row r="1848" spans="1:3" x14ac:dyDescent="0.25">
      <c r="A1848" s="15">
        <f t="shared" si="33"/>
        <v>45352</v>
      </c>
      <c r="B1848" s="72">
        <f t="shared" si="34"/>
        <v>1.088125</v>
      </c>
      <c r="C1848" s="157">
        <f t="shared" si="35"/>
        <v>841.15</v>
      </c>
    </row>
    <row r="1849" spans="1:3" ht="15.75" x14ac:dyDescent="0.25">
      <c r="A1849" s="15">
        <f t="shared" si="33"/>
        <v>45355</v>
      </c>
      <c r="B1849" s="530">
        <v>1.089375</v>
      </c>
      <c r="C1849" s="529">
        <v>845.25</v>
      </c>
    </row>
    <row r="1850" spans="1:3" x14ac:dyDescent="0.25">
      <c r="A1850" s="15">
        <f t="shared" si="33"/>
        <v>45356</v>
      </c>
      <c r="B1850" s="72">
        <f t="shared" si="34"/>
        <v>1.089375</v>
      </c>
      <c r="C1850" s="157">
        <f t="shared" si="35"/>
        <v>845.25</v>
      </c>
    </row>
    <row r="1851" spans="1:3" x14ac:dyDescent="0.25">
      <c r="A1851" s="15">
        <f t="shared" si="33"/>
        <v>45357</v>
      </c>
      <c r="B1851" s="72">
        <f t="shared" si="34"/>
        <v>1.089375</v>
      </c>
      <c r="C1851" s="157">
        <f t="shared" si="35"/>
        <v>845.25</v>
      </c>
    </row>
    <row r="1852" spans="1:3" x14ac:dyDescent="0.25">
      <c r="A1852" s="15">
        <f t="shared" ref="A1852:A1915" si="36">+WORKDAY.INTL(A1851,1,1,)</f>
        <v>45358</v>
      </c>
      <c r="B1852" s="72">
        <f t="shared" si="34"/>
        <v>1.089375</v>
      </c>
      <c r="C1852" s="157">
        <f t="shared" si="35"/>
        <v>845.25</v>
      </c>
    </row>
    <row r="1853" spans="1:3" x14ac:dyDescent="0.25">
      <c r="A1853" s="15">
        <f t="shared" si="36"/>
        <v>45359</v>
      </c>
      <c r="B1853" s="72">
        <f t="shared" si="34"/>
        <v>1.089375</v>
      </c>
      <c r="C1853" s="157">
        <f t="shared" si="35"/>
        <v>845.25</v>
      </c>
    </row>
    <row r="1854" spans="1:3" ht="15.75" x14ac:dyDescent="0.25">
      <c r="A1854" s="15">
        <f t="shared" si="36"/>
        <v>45362</v>
      </c>
      <c r="B1854" s="530">
        <v>1.089375</v>
      </c>
      <c r="C1854" s="529">
        <v>848.25</v>
      </c>
    </row>
    <row r="1855" spans="1:3" x14ac:dyDescent="0.25">
      <c r="A1855" s="15">
        <f t="shared" si="36"/>
        <v>45363</v>
      </c>
      <c r="B1855" s="72">
        <f t="shared" si="34"/>
        <v>1.089375</v>
      </c>
      <c r="C1855" s="157">
        <f t="shared" si="35"/>
        <v>848.25</v>
      </c>
    </row>
    <row r="1856" spans="1:3" x14ac:dyDescent="0.25">
      <c r="A1856" s="15">
        <f t="shared" si="36"/>
        <v>45364</v>
      </c>
      <c r="B1856" s="72">
        <f t="shared" si="34"/>
        <v>1.089375</v>
      </c>
      <c r="C1856" s="157">
        <f t="shared" si="35"/>
        <v>848.25</v>
      </c>
    </row>
    <row r="1857" spans="1:3" x14ac:dyDescent="0.25">
      <c r="A1857" s="15">
        <f t="shared" si="36"/>
        <v>45365</v>
      </c>
      <c r="B1857" s="72">
        <f t="shared" si="34"/>
        <v>1.089375</v>
      </c>
      <c r="C1857" s="157">
        <f t="shared" si="35"/>
        <v>848.25</v>
      </c>
    </row>
    <row r="1858" spans="1:3" x14ac:dyDescent="0.25">
      <c r="A1858" s="15">
        <f t="shared" si="36"/>
        <v>45366</v>
      </c>
      <c r="B1858" s="72">
        <f t="shared" si="34"/>
        <v>1.089375</v>
      </c>
      <c r="C1858" s="157">
        <f t="shared" si="35"/>
        <v>848.25</v>
      </c>
    </row>
    <row r="1859" spans="1:3" ht="15.75" x14ac:dyDescent="0.25">
      <c r="A1859" s="15">
        <f t="shared" si="36"/>
        <v>45369</v>
      </c>
      <c r="B1859" s="530">
        <v>0.71625000000000005</v>
      </c>
      <c r="C1859" s="529">
        <v>852.25</v>
      </c>
    </row>
    <row r="1860" spans="1:3" x14ac:dyDescent="0.25">
      <c r="A1860" s="15">
        <f t="shared" si="36"/>
        <v>45370</v>
      </c>
      <c r="B1860" s="72">
        <f t="shared" si="34"/>
        <v>0.71625000000000005</v>
      </c>
      <c r="C1860" s="157">
        <f t="shared" si="35"/>
        <v>852.25</v>
      </c>
    </row>
    <row r="1861" spans="1:3" x14ac:dyDescent="0.25">
      <c r="A1861" s="15">
        <f t="shared" si="36"/>
        <v>45371</v>
      </c>
      <c r="B1861" s="72">
        <f t="shared" si="34"/>
        <v>0.71625000000000005</v>
      </c>
      <c r="C1861" s="157">
        <f t="shared" si="35"/>
        <v>852.25</v>
      </c>
    </row>
    <row r="1862" spans="1:3" x14ac:dyDescent="0.25">
      <c r="A1862" s="15">
        <f t="shared" si="36"/>
        <v>45372</v>
      </c>
      <c r="B1862" s="72">
        <f t="shared" si="34"/>
        <v>0.71625000000000005</v>
      </c>
      <c r="C1862" s="157">
        <f t="shared" si="35"/>
        <v>852.25</v>
      </c>
    </row>
    <row r="1863" spans="1:3" x14ac:dyDescent="0.25">
      <c r="A1863" s="15">
        <f t="shared" si="36"/>
        <v>45373</v>
      </c>
      <c r="B1863" s="72">
        <f t="shared" si="34"/>
        <v>0.71625000000000005</v>
      </c>
      <c r="C1863" s="157">
        <f t="shared" si="35"/>
        <v>852.25</v>
      </c>
    </row>
    <row r="1864" spans="1:3" ht="15.75" x14ac:dyDescent="0.25">
      <c r="A1864" s="15">
        <f t="shared" si="36"/>
        <v>45376</v>
      </c>
      <c r="B1864" s="530">
        <v>0.71375</v>
      </c>
      <c r="C1864" s="529">
        <v>856.75</v>
      </c>
    </row>
    <row r="1865" spans="1:3" x14ac:dyDescent="0.25">
      <c r="A1865" s="15">
        <f t="shared" si="36"/>
        <v>45377</v>
      </c>
      <c r="B1865" s="72">
        <f t="shared" si="34"/>
        <v>0.71375</v>
      </c>
      <c r="C1865" s="157">
        <f t="shared" si="35"/>
        <v>856.75</v>
      </c>
    </row>
    <row r="1866" spans="1:3" x14ac:dyDescent="0.25">
      <c r="A1866" s="15">
        <f t="shared" si="36"/>
        <v>45378</v>
      </c>
      <c r="B1866" s="72">
        <f t="shared" si="34"/>
        <v>0.71375</v>
      </c>
      <c r="C1866" s="157">
        <f t="shared" si="35"/>
        <v>856.75</v>
      </c>
    </row>
    <row r="1867" spans="1:3" x14ac:dyDescent="0.25">
      <c r="A1867" s="15">
        <f t="shared" si="36"/>
        <v>45379</v>
      </c>
      <c r="B1867" s="72">
        <f t="shared" ref="B1867:B1930" si="37">+B1866</f>
        <v>0.71375</v>
      </c>
      <c r="C1867" s="157">
        <f t="shared" si="35"/>
        <v>856.75</v>
      </c>
    </row>
    <row r="1868" spans="1:3" x14ac:dyDescent="0.25">
      <c r="A1868" s="15">
        <f t="shared" si="36"/>
        <v>45380</v>
      </c>
      <c r="B1868" s="72">
        <f t="shared" si="37"/>
        <v>0.71375</v>
      </c>
      <c r="C1868" s="157">
        <f t="shared" ref="C1868:C1931" si="38">+C1867</f>
        <v>856.75</v>
      </c>
    </row>
    <row r="1869" spans="1:3" x14ac:dyDescent="0.25">
      <c r="A1869" s="15">
        <f t="shared" si="36"/>
        <v>45383</v>
      </c>
      <c r="B1869" s="72">
        <f t="shared" si="37"/>
        <v>0.71375</v>
      </c>
      <c r="C1869" s="157">
        <f t="shared" si="38"/>
        <v>856.75</v>
      </c>
    </row>
    <row r="1870" spans="1:3" x14ac:dyDescent="0.25">
      <c r="A1870" s="15">
        <f t="shared" si="36"/>
        <v>45384</v>
      </c>
      <c r="B1870" s="72">
        <f t="shared" si="37"/>
        <v>0.71375</v>
      </c>
      <c r="C1870" s="157">
        <f t="shared" si="38"/>
        <v>856.75</v>
      </c>
    </row>
    <row r="1871" spans="1:3" x14ac:dyDescent="0.25">
      <c r="A1871" s="15">
        <f t="shared" si="36"/>
        <v>45385</v>
      </c>
      <c r="B1871" s="72">
        <f t="shared" si="37"/>
        <v>0.71375</v>
      </c>
      <c r="C1871" s="157">
        <f t="shared" si="38"/>
        <v>856.75</v>
      </c>
    </row>
    <row r="1872" spans="1:3" ht="15.75" x14ac:dyDescent="0.25">
      <c r="A1872" s="15">
        <f t="shared" si="36"/>
        <v>45386</v>
      </c>
      <c r="B1872" s="530">
        <v>0.70874999999999999</v>
      </c>
      <c r="C1872" s="529">
        <v>861.25</v>
      </c>
    </row>
    <row r="1873" spans="1:3" x14ac:dyDescent="0.25">
      <c r="A1873" s="15">
        <f t="shared" si="36"/>
        <v>45387</v>
      </c>
      <c r="B1873" s="72">
        <f t="shared" si="37"/>
        <v>0.70874999999999999</v>
      </c>
      <c r="C1873" s="157">
        <f t="shared" si="38"/>
        <v>861.25</v>
      </c>
    </row>
    <row r="1874" spans="1:3" ht="15.75" x14ac:dyDescent="0.25">
      <c r="A1874" s="15">
        <f t="shared" si="36"/>
        <v>45390</v>
      </c>
      <c r="B1874" s="530">
        <v>0.71499999999999997</v>
      </c>
      <c r="C1874" s="529">
        <v>864.75</v>
      </c>
    </row>
    <row r="1875" spans="1:3" x14ac:dyDescent="0.25">
      <c r="A1875" s="15">
        <f t="shared" si="36"/>
        <v>45391</v>
      </c>
      <c r="B1875" s="72">
        <f t="shared" si="37"/>
        <v>0.71499999999999997</v>
      </c>
      <c r="C1875" s="157">
        <f t="shared" si="38"/>
        <v>864.75</v>
      </c>
    </row>
    <row r="1876" spans="1:3" x14ac:dyDescent="0.25">
      <c r="A1876" s="15">
        <f t="shared" si="36"/>
        <v>45392</v>
      </c>
      <c r="B1876" s="72">
        <f t="shared" si="37"/>
        <v>0.71499999999999997</v>
      </c>
      <c r="C1876" s="157">
        <f t="shared" si="38"/>
        <v>864.75</v>
      </c>
    </row>
    <row r="1877" spans="1:3" x14ac:dyDescent="0.25">
      <c r="A1877" s="15">
        <f t="shared" si="36"/>
        <v>45393</v>
      </c>
      <c r="B1877" s="72">
        <f t="shared" si="37"/>
        <v>0.71499999999999997</v>
      </c>
      <c r="C1877" s="157">
        <f t="shared" si="38"/>
        <v>864.75</v>
      </c>
    </row>
    <row r="1878" spans="1:3" x14ac:dyDescent="0.25">
      <c r="A1878" s="15">
        <f t="shared" si="36"/>
        <v>45394</v>
      </c>
      <c r="B1878" s="72">
        <f t="shared" si="37"/>
        <v>0.71499999999999997</v>
      </c>
      <c r="C1878" s="157">
        <f t="shared" si="38"/>
        <v>864.75</v>
      </c>
    </row>
    <row r="1879" spans="1:3" x14ac:dyDescent="0.25">
      <c r="A1879" s="15">
        <f t="shared" si="36"/>
        <v>45397</v>
      </c>
      <c r="B1879" s="72">
        <f t="shared" si="37"/>
        <v>0.71499999999999997</v>
      </c>
      <c r="C1879" s="157">
        <f t="shared" si="38"/>
        <v>864.75</v>
      </c>
    </row>
    <row r="1880" spans="1:3" x14ac:dyDescent="0.25">
      <c r="A1880" s="15">
        <f t="shared" si="36"/>
        <v>45398</v>
      </c>
      <c r="B1880" s="72">
        <f t="shared" si="37"/>
        <v>0.71499999999999997</v>
      </c>
      <c r="C1880" s="157">
        <f t="shared" si="38"/>
        <v>864.75</v>
      </c>
    </row>
    <row r="1881" spans="1:3" x14ac:dyDescent="0.25">
      <c r="A1881" s="15">
        <f t="shared" si="36"/>
        <v>45399</v>
      </c>
      <c r="B1881" s="72">
        <f t="shared" si="37"/>
        <v>0.71499999999999997</v>
      </c>
      <c r="C1881" s="157">
        <f t="shared" si="38"/>
        <v>864.75</v>
      </c>
    </row>
    <row r="1882" spans="1:3" x14ac:dyDescent="0.25">
      <c r="A1882" s="15">
        <f t="shared" si="36"/>
        <v>45400</v>
      </c>
      <c r="B1882" s="72">
        <f t="shared" si="37"/>
        <v>0.71499999999999997</v>
      </c>
      <c r="C1882" s="157">
        <f t="shared" si="38"/>
        <v>864.75</v>
      </c>
    </row>
    <row r="1883" spans="1:3" x14ac:dyDescent="0.25">
      <c r="A1883" s="15">
        <f t="shared" si="36"/>
        <v>45401</v>
      </c>
      <c r="B1883" s="72">
        <f t="shared" si="37"/>
        <v>0.71499999999999997</v>
      </c>
      <c r="C1883" s="157">
        <f t="shared" si="38"/>
        <v>864.75</v>
      </c>
    </row>
    <row r="1884" spans="1:3" ht="15.75" x14ac:dyDescent="0.25">
      <c r="A1884" s="15">
        <f t="shared" si="36"/>
        <v>45404</v>
      </c>
      <c r="B1884" s="530">
        <v>0.61812500000000004</v>
      </c>
      <c r="C1884" s="529">
        <v>870.75</v>
      </c>
    </row>
    <row r="1885" spans="1:3" x14ac:dyDescent="0.25">
      <c r="A1885" s="15">
        <f t="shared" si="36"/>
        <v>45405</v>
      </c>
      <c r="B1885" s="72">
        <f t="shared" si="37"/>
        <v>0.61812500000000004</v>
      </c>
      <c r="C1885" s="157">
        <f t="shared" si="38"/>
        <v>870.75</v>
      </c>
    </row>
    <row r="1886" spans="1:3" x14ac:dyDescent="0.25">
      <c r="A1886" s="15">
        <f t="shared" si="36"/>
        <v>45406</v>
      </c>
      <c r="B1886" s="72">
        <f t="shared" si="37"/>
        <v>0.61812500000000004</v>
      </c>
      <c r="C1886" s="157">
        <f t="shared" si="38"/>
        <v>870.75</v>
      </c>
    </row>
    <row r="1887" spans="1:3" x14ac:dyDescent="0.25">
      <c r="A1887" s="15">
        <f t="shared" si="36"/>
        <v>45407</v>
      </c>
      <c r="B1887" s="72">
        <f t="shared" si="37"/>
        <v>0.61812500000000004</v>
      </c>
      <c r="C1887" s="157">
        <f t="shared" si="38"/>
        <v>870.75</v>
      </c>
    </row>
    <row r="1888" spans="1:3" x14ac:dyDescent="0.25">
      <c r="A1888" s="15">
        <f t="shared" si="36"/>
        <v>45408</v>
      </c>
      <c r="B1888" s="72">
        <f t="shared" si="37"/>
        <v>0.61812500000000004</v>
      </c>
      <c r="C1888" s="157">
        <f t="shared" si="38"/>
        <v>870.75</v>
      </c>
    </row>
    <row r="1889" spans="1:3" x14ac:dyDescent="0.25">
      <c r="A1889" s="15">
        <f t="shared" si="36"/>
        <v>45411</v>
      </c>
      <c r="B1889" s="72">
        <f t="shared" si="37"/>
        <v>0.61812500000000004</v>
      </c>
      <c r="C1889" s="157">
        <f t="shared" si="38"/>
        <v>870.75</v>
      </c>
    </row>
    <row r="1890" spans="1:3" x14ac:dyDescent="0.25">
      <c r="A1890" s="15">
        <f t="shared" si="36"/>
        <v>45412</v>
      </c>
      <c r="B1890" s="72">
        <f t="shared" si="37"/>
        <v>0.61812500000000004</v>
      </c>
      <c r="C1890" s="157">
        <f t="shared" si="38"/>
        <v>870.75</v>
      </c>
    </row>
    <row r="1891" spans="1:3" x14ac:dyDescent="0.25">
      <c r="A1891" s="15">
        <f t="shared" si="36"/>
        <v>45413</v>
      </c>
      <c r="B1891" s="72">
        <f t="shared" si="37"/>
        <v>0.61812500000000004</v>
      </c>
      <c r="C1891" s="157">
        <f t="shared" si="38"/>
        <v>870.75</v>
      </c>
    </row>
    <row r="1892" spans="1:3" x14ac:dyDescent="0.25">
      <c r="A1892" s="15">
        <f t="shared" si="36"/>
        <v>45414</v>
      </c>
      <c r="B1892" s="72">
        <f t="shared" si="37"/>
        <v>0.61812500000000004</v>
      </c>
      <c r="C1892" s="157">
        <f t="shared" si="38"/>
        <v>870.75</v>
      </c>
    </row>
    <row r="1893" spans="1:3" x14ac:dyDescent="0.25">
      <c r="A1893" s="15">
        <f t="shared" si="36"/>
        <v>45415</v>
      </c>
      <c r="B1893" s="72">
        <f t="shared" si="37"/>
        <v>0.61812500000000004</v>
      </c>
      <c r="C1893" s="157">
        <f t="shared" si="38"/>
        <v>870.75</v>
      </c>
    </row>
    <row r="1894" spans="1:3" ht="15.75" x14ac:dyDescent="0.25">
      <c r="A1894" s="15">
        <f t="shared" si="36"/>
        <v>45418</v>
      </c>
      <c r="B1894" s="530">
        <v>0.47875000000000001</v>
      </c>
      <c r="C1894" s="529">
        <v>878.75</v>
      </c>
    </row>
    <row r="1895" spans="1:3" x14ac:dyDescent="0.25">
      <c r="A1895" s="15">
        <f t="shared" si="36"/>
        <v>45419</v>
      </c>
      <c r="B1895" s="72">
        <f t="shared" si="37"/>
        <v>0.47875000000000001</v>
      </c>
      <c r="C1895" s="157">
        <f t="shared" si="38"/>
        <v>878.75</v>
      </c>
    </row>
    <row r="1896" spans="1:3" x14ac:dyDescent="0.25">
      <c r="A1896" s="15">
        <f t="shared" si="36"/>
        <v>45420</v>
      </c>
      <c r="B1896" s="72">
        <f t="shared" si="37"/>
        <v>0.47875000000000001</v>
      </c>
      <c r="C1896" s="157">
        <f t="shared" si="38"/>
        <v>878.75</v>
      </c>
    </row>
    <row r="1897" spans="1:3" x14ac:dyDescent="0.25">
      <c r="A1897" s="15">
        <f t="shared" si="36"/>
        <v>45421</v>
      </c>
      <c r="B1897" s="72">
        <f t="shared" si="37"/>
        <v>0.47875000000000001</v>
      </c>
      <c r="C1897" s="157">
        <f t="shared" si="38"/>
        <v>878.75</v>
      </c>
    </row>
    <row r="1898" spans="1:3" x14ac:dyDescent="0.25">
      <c r="A1898" s="15">
        <f t="shared" si="36"/>
        <v>45422</v>
      </c>
      <c r="B1898" s="72">
        <f t="shared" si="37"/>
        <v>0.47875000000000001</v>
      </c>
      <c r="C1898" s="157">
        <f t="shared" si="38"/>
        <v>878.75</v>
      </c>
    </row>
    <row r="1899" spans="1:3" ht="15.75" x14ac:dyDescent="0.25">
      <c r="A1899" s="15">
        <f t="shared" si="36"/>
        <v>45425</v>
      </c>
      <c r="B1899" s="530">
        <v>0.47810000000000002</v>
      </c>
      <c r="C1899" s="529">
        <v>885.25</v>
      </c>
    </row>
    <row r="1900" spans="1:3" x14ac:dyDescent="0.25">
      <c r="A1900" s="15">
        <f t="shared" si="36"/>
        <v>45426</v>
      </c>
      <c r="B1900" s="72">
        <f t="shared" si="37"/>
        <v>0.47810000000000002</v>
      </c>
      <c r="C1900" s="157">
        <f t="shared" si="38"/>
        <v>885.25</v>
      </c>
    </row>
    <row r="1901" spans="1:3" x14ac:dyDescent="0.25">
      <c r="A1901" s="15">
        <f t="shared" si="36"/>
        <v>45427</v>
      </c>
      <c r="B1901" s="72">
        <f t="shared" si="37"/>
        <v>0.47810000000000002</v>
      </c>
      <c r="C1901" s="157">
        <f t="shared" si="38"/>
        <v>885.25</v>
      </c>
    </row>
    <row r="1902" spans="1:3" x14ac:dyDescent="0.25">
      <c r="A1902" s="15">
        <f t="shared" si="36"/>
        <v>45428</v>
      </c>
      <c r="B1902" s="72">
        <f t="shared" si="37"/>
        <v>0.47810000000000002</v>
      </c>
      <c r="C1902" s="157">
        <f t="shared" si="38"/>
        <v>885.25</v>
      </c>
    </row>
    <row r="1903" spans="1:3" x14ac:dyDescent="0.25">
      <c r="A1903" s="15">
        <f t="shared" si="36"/>
        <v>45429</v>
      </c>
      <c r="B1903" s="72">
        <f t="shared" si="37"/>
        <v>0.47810000000000002</v>
      </c>
      <c r="C1903" s="157">
        <f t="shared" si="38"/>
        <v>885.25</v>
      </c>
    </row>
    <row r="1904" spans="1:3" ht="15.75" x14ac:dyDescent="0.25">
      <c r="A1904" s="15">
        <f t="shared" si="36"/>
        <v>45432</v>
      </c>
      <c r="B1904" s="530">
        <v>0.32062499999999999</v>
      </c>
      <c r="C1904" s="529">
        <v>886.75</v>
      </c>
    </row>
    <row r="1905" spans="1:3" x14ac:dyDescent="0.25">
      <c r="A1905" s="15">
        <f t="shared" si="36"/>
        <v>45433</v>
      </c>
      <c r="B1905" s="72">
        <f t="shared" si="37"/>
        <v>0.32062499999999999</v>
      </c>
      <c r="C1905" s="157">
        <f t="shared" si="38"/>
        <v>886.75</v>
      </c>
    </row>
    <row r="1906" spans="1:3" x14ac:dyDescent="0.25">
      <c r="A1906" s="15">
        <f t="shared" si="36"/>
        <v>45434</v>
      </c>
      <c r="B1906" s="72">
        <f t="shared" si="37"/>
        <v>0.32062499999999999</v>
      </c>
      <c r="C1906" s="157">
        <f t="shared" si="38"/>
        <v>886.75</v>
      </c>
    </row>
    <row r="1907" spans="1:3" x14ac:dyDescent="0.25">
      <c r="A1907" s="15">
        <f t="shared" si="36"/>
        <v>45435</v>
      </c>
      <c r="B1907" s="72">
        <f t="shared" si="37"/>
        <v>0.32062499999999999</v>
      </c>
      <c r="C1907" s="157">
        <f t="shared" si="38"/>
        <v>886.75</v>
      </c>
    </row>
    <row r="1908" spans="1:3" ht="15.75" x14ac:dyDescent="0.25">
      <c r="A1908" s="15">
        <f t="shared" si="36"/>
        <v>45436</v>
      </c>
      <c r="B1908" s="530">
        <v>0.32187500000000002</v>
      </c>
      <c r="C1908" s="157">
        <f t="shared" si="38"/>
        <v>886.75</v>
      </c>
    </row>
    <row r="1909" spans="1:3" ht="15.75" x14ac:dyDescent="0.25">
      <c r="A1909" s="15">
        <f t="shared" si="36"/>
        <v>45439</v>
      </c>
      <c r="B1909" s="72">
        <f t="shared" si="37"/>
        <v>0.32187500000000002</v>
      </c>
      <c r="C1909" s="529">
        <v>892.75</v>
      </c>
    </row>
    <row r="1910" spans="1:3" x14ac:dyDescent="0.25">
      <c r="A1910" s="15">
        <f t="shared" si="36"/>
        <v>45440</v>
      </c>
      <c r="B1910" s="72">
        <f t="shared" si="37"/>
        <v>0.32187500000000002</v>
      </c>
      <c r="C1910" s="157">
        <f t="shared" si="38"/>
        <v>892.75</v>
      </c>
    </row>
    <row r="1911" spans="1:3" x14ac:dyDescent="0.25">
      <c r="A1911" s="15">
        <f t="shared" si="36"/>
        <v>45441</v>
      </c>
      <c r="B1911" s="72">
        <f t="shared" si="37"/>
        <v>0.32187500000000002</v>
      </c>
      <c r="C1911" s="157">
        <f t="shared" si="38"/>
        <v>892.75</v>
      </c>
    </row>
    <row r="1912" spans="1:3" x14ac:dyDescent="0.25">
      <c r="A1912" s="15">
        <f t="shared" si="36"/>
        <v>45442</v>
      </c>
      <c r="B1912" s="72">
        <f t="shared" si="37"/>
        <v>0.32187500000000002</v>
      </c>
      <c r="C1912" s="157">
        <f t="shared" si="38"/>
        <v>892.75</v>
      </c>
    </row>
    <row r="1913" spans="1:3" ht="15.75" x14ac:dyDescent="0.25">
      <c r="A1913" s="15">
        <f t="shared" si="36"/>
        <v>45443</v>
      </c>
      <c r="B1913" s="530">
        <v>0.33374999999999999</v>
      </c>
      <c r="C1913" s="157">
        <f t="shared" si="38"/>
        <v>892.75</v>
      </c>
    </row>
    <row r="1914" spans="1:3" ht="15.75" x14ac:dyDescent="0.25">
      <c r="A1914" s="15">
        <f t="shared" si="36"/>
        <v>45446</v>
      </c>
      <c r="B1914" s="72">
        <f t="shared" si="37"/>
        <v>0.33374999999999999</v>
      </c>
      <c r="C1914" s="529">
        <v>896.42</v>
      </c>
    </row>
    <row r="1915" spans="1:3" x14ac:dyDescent="0.25">
      <c r="A1915" s="15">
        <f t="shared" si="36"/>
        <v>45447</v>
      </c>
      <c r="B1915" s="72">
        <f t="shared" si="37"/>
        <v>0.33374999999999999</v>
      </c>
      <c r="C1915" s="157">
        <f t="shared" si="38"/>
        <v>896.42</v>
      </c>
    </row>
    <row r="1916" spans="1:3" x14ac:dyDescent="0.25">
      <c r="A1916" s="15">
        <f t="shared" ref="A1916:A1979" si="39">+WORKDAY.INTL(A1915,1,1,)</f>
        <v>45448</v>
      </c>
      <c r="B1916" s="72">
        <f t="shared" si="37"/>
        <v>0.33374999999999999</v>
      </c>
      <c r="C1916" s="157">
        <f t="shared" si="38"/>
        <v>896.42</v>
      </c>
    </row>
    <row r="1917" spans="1:3" x14ac:dyDescent="0.25">
      <c r="A1917" s="15">
        <f t="shared" si="39"/>
        <v>45449</v>
      </c>
      <c r="B1917" s="72">
        <f t="shared" si="37"/>
        <v>0.33374999999999999</v>
      </c>
      <c r="C1917" s="157">
        <f t="shared" si="38"/>
        <v>896.42</v>
      </c>
    </row>
    <row r="1918" spans="1:3" x14ac:dyDescent="0.25">
      <c r="A1918" s="15">
        <f t="shared" si="39"/>
        <v>45450</v>
      </c>
      <c r="B1918" s="72">
        <f t="shared" si="37"/>
        <v>0.33374999999999999</v>
      </c>
      <c r="C1918" s="157">
        <f t="shared" si="38"/>
        <v>896.42</v>
      </c>
    </row>
    <row r="1919" spans="1:3" x14ac:dyDescent="0.25">
      <c r="A1919" s="15">
        <f t="shared" si="39"/>
        <v>45453</v>
      </c>
      <c r="B1919" s="72">
        <f t="shared" si="37"/>
        <v>0.33374999999999999</v>
      </c>
      <c r="C1919" s="157">
        <f t="shared" si="38"/>
        <v>896.42</v>
      </c>
    </row>
    <row r="1920" spans="1:3" x14ac:dyDescent="0.25">
      <c r="A1920" s="15">
        <f t="shared" si="39"/>
        <v>45454</v>
      </c>
      <c r="B1920" s="72">
        <f t="shared" si="37"/>
        <v>0.33374999999999999</v>
      </c>
      <c r="C1920" s="157">
        <f t="shared" si="38"/>
        <v>896.42</v>
      </c>
    </row>
    <row r="1921" spans="1:3" x14ac:dyDescent="0.25">
      <c r="A1921" s="15">
        <f t="shared" si="39"/>
        <v>45455</v>
      </c>
      <c r="B1921" s="72">
        <f t="shared" si="37"/>
        <v>0.33374999999999999</v>
      </c>
      <c r="C1921" s="157">
        <f t="shared" si="38"/>
        <v>896.42</v>
      </c>
    </row>
    <row r="1922" spans="1:3" ht="15.75" x14ac:dyDescent="0.25">
      <c r="A1922" s="15">
        <f t="shared" si="39"/>
        <v>45456</v>
      </c>
      <c r="B1922" s="530">
        <v>0.34250000000000003</v>
      </c>
      <c r="C1922" s="157">
        <f t="shared" si="38"/>
        <v>896.42</v>
      </c>
    </row>
    <row r="1923" spans="1:3" ht="15.75" x14ac:dyDescent="0.25">
      <c r="A1923" s="15">
        <f t="shared" si="39"/>
        <v>45457</v>
      </c>
      <c r="B1923" s="72">
        <f t="shared" si="37"/>
        <v>0.34250000000000003</v>
      </c>
      <c r="C1923" s="529">
        <v>902.67</v>
      </c>
    </row>
    <row r="1924" spans="1:3" x14ac:dyDescent="0.25">
      <c r="A1924" s="15">
        <f t="shared" si="39"/>
        <v>45460</v>
      </c>
      <c r="B1924" s="72">
        <f t="shared" si="37"/>
        <v>0.34250000000000003</v>
      </c>
      <c r="C1924" s="157">
        <f t="shared" si="38"/>
        <v>902.67</v>
      </c>
    </row>
    <row r="1925" spans="1:3" x14ac:dyDescent="0.25">
      <c r="A1925" s="15">
        <f t="shared" si="39"/>
        <v>45461</v>
      </c>
      <c r="B1925" s="72">
        <f t="shared" si="37"/>
        <v>0.34250000000000003</v>
      </c>
      <c r="C1925" s="157">
        <f t="shared" si="38"/>
        <v>902.67</v>
      </c>
    </row>
    <row r="1926" spans="1:3" x14ac:dyDescent="0.25">
      <c r="A1926" s="15">
        <f t="shared" si="39"/>
        <v>45462</v>
      </c>
      <c r="B1926" s="72">
        <f t="shared" si="37"/>
        <v>0.34250000000000003</v>
      </c>
      <c r="C1926" s="157">
        <f t="shared" si="38"/>
        <v>902.67</v>
      </c>
    </row>
    <row r="1927" spans="1:3" x14ac:dyDescent="0.25">
      <c r="A1927" s="15">
        <f t="shared" si="39"/>
        <v>45463</v>
      </c>
      <c r="B1927" s="72">
        <f t="shared" si="37"/>
        <v>0.34250000000000003</v>
      </c>
      <c r="C1927" s="157">
        <f t="shared" si="38"/>
        <v>902.67</v>
      </c>
    </row>
    <row r="1928" spans="1:3" x14ac:dyDescent="0.25">
      <c r="A1928" s="15">
        <f t="shared" si="39"/>
        <v>45464</v>
      </c>
      <c r="B1928" s="72">
        <f t="shared" si="37"/>
        <v>0.34250000000000003</v>
      </c>
      <c r="C1928" s="157">
        <f t="shared" si="38"/>
        <v>902.67</v>
      </c>
    </row>
    <row r="1929" spans="1:3" x14ac:dyDescent="0.25">
      <c r="A1929" s="15">
        <f t="shared" si="39"/>
        <v>45467</v>
      </c>
      <c r="B1929" s="72">
        <f t="shared" si="37"/>
        <v>0.34250000000000003</v>
      </c>
      <c r="C1929" s="157">
        <f t="shared" si="38"/>
        <v>902.67</v>
      </c>
    </row>
    <row r="1930" spans="1:3" x14ac:dyDescent="0.25">
      <c r="A1930" s="15">
        <f t="shared" si="39"/>
        <v>45468</v>
      </c>
      <c r="B1930" s="72">
        <f t="shared" si="37"/>
        <v>0.34250000000000003</v>
      </c>
      <c r="C1930" s="157">
        <f t="shared" si="38"/>
        <v>902.67</v>
      </c>
    </row>
    <row r="1931" spans="1:3" ht="15.75" x14ac:dyDescent="0.25">
      <c r="A1931" s="15">
        <f t="shared" si="39"/>
        <v>45469</v>
      </c>
      <c r="B1931" s="530">
        <v>0.32874999999999999</v>
      </c>
      <c r="C1931" s="157">
        <f t="shared" si="38"/>
        <v>902.67</v>
      </c>
    </row>
    <row r="1932" spans="1:3" ht="15.75" x14ac:dyDescent="0.25">
      <c r="A1932" s="15">
        <f t="shared" si="39"/>
        <v>45470</v>
      </c>
      <c r="B1932" s="72">
        <f t="shared" ref="B1932:B1994" si="40">+B1931</f>
        <v>0.32874999999999999</v>
      </c>
      <c r="C1932" s="529">
        <v>910.75</v>
      </c>
    </row>
    <row r="1933" spans="1:3" ht="15.75" x14ac:dyDescent="0.25">
      <c r="A1933" s="15">
        <f t="shared" si="39"/>
        <v>45471</v>
      </c>
      <c r="B1933" s="530">
        <v>0.36062499999999997</v>
      </c>
      <c r="C1933" s="157">
        <f t="shared" ref="C1933:C1995" si="41">+C1932</f>
        <v>910.75</v>
      </c>
    </row>
    <row r="1934" spans="1:3" ht="15.75" x14ac:dyDescent="0.25">
      <c r="A1934" s="15">
        <f t="shared" si="39"/>
        <v>45474</v>
      </c>
      <c r="B1934" s="72">
        <f t="shared" si="40"/>
        <v>0.36062499999999997</v>
      </c>
      <c r="C1934" s="529">
        <v>914.5</v>
      </c>
    </row>
    <row r="1935" spans="1:3" x14ac:dyDescent="0.25">
      <c r="A1935" s="15">
        <f t="shared" si="39"/>
        <v>45475</v>
      </c>
      <c r="B1935" s="72">
        <f t="shared" si="40"/>
        <v>0.36062499999999997</v>
      </c>
      <c r="C1935" s="157">
        <f t="shared" si="41"/>
        <v>914.5</v>
      </c>
    </row>
    <row r="1936" spans="1:3" x14ac:dyDescent="0.25">
      <c r="A1936" s="15">
        <f t="shared" si="39"/>
        <v>45476</v>
      </c>
      <c r="B1936" s="72">
        <f t="shared" si="40"/>
        <v>0.36062499999999997</v>
      </c>
      <c r="C1936" s="157">
        <f t="shared" si="41"/>
        <v>914.5</v>
      </c>
    </row>
    <row r="1937" spans="1:3" x14ac:dyDescent="0.25">
      <c r="A1937" s="15">
        <f t="shared" si="39"/>
        <v>45477</v>
      </c>
      <c r="B1937" s="72">
        <f t="shared" si="40"/>
        <v>0.36062499999999997</v>
      </c>
      <c r="C1937" s="157">
        <f t="shared" si="41"/>
        <v>914.5</v>
      </c>
    </row>
    <row r="1938" spans="1:3" ht="15.75" x14ac:dyDescent="0.25">
      <c r="A1938" s="15">
        <f t="shared" si="39"/>
        <v>45478</v>
      </c>
      <c r="B1938" s="531">
        <v>0.36</v>
      </c>
      <c r="C1938" s="157">
        <f t="shared" si="41"/>
        <v>914.5</v>
      </c>
    </row>
    <row r="1939" spans="1:3" ht="15.75" x14ac:dyDescent="0.25">
      <c r="A1939" s="15">
        <f t="shared" si="39"/>
        <v>45481</v>
      </c>
      <c r="B1939" s="72">
        <f t="shared" si="40"/>
        <v>0.36</v>
      </c>
      <c r="C1939" s="529">
        <v>918.92</v>
      </c>
    </row>
    <row r="1940" spans="1:3" x14ac:dyDescent="0.25">
      <c r="A1940" s="15">
        <f t="shared" si="39"/>
        <v>45482</v>
      </c>
      <c r="B1940" s="72">
        <f t="shared" si="40"/>
        <v>0.36</v>
      </c>
      <c r="C1940" s="157">
        <f t="shared" si="41"/>
        <v>918.92</v>
      </c>
    </row>
    <row r="1941" spans="1:3" x14ac:dyDescent="0.25">
      <c r="A1941" s="15">
        <f t="shared" si="39"/>
        <v>45483</v>
      </c>
      <c r="B1941" s="72">
        <f t="shared" si="40"/>
        <v>0.36</v>
      </c>
      <c r="C1941" s="157">
        <f t="shared" si="41"/>
        <v>918.92</v>
      </c>
    </row>
    <row r="1942" spans="1:3" x14ac:dyDescent="0.25">
      <c r="A1942" s="15">
        <f t="shared" si="39"/>
        <v>45484</v>
      </c>
      <c r="B1942" s="72">
        <f t="shared" si="40"/>
        <v>0.36</v>
      </c>
      <c r="C1942" s="157">
        <f t="shared" si="41"/>
        <v>918.92</v>
      </c>
    </row>
    <row r="1943" spans="1:3" x14ac:dyDescent="0.25">
      <c r="A1943" s="15">
        <f t="shared" si="39"/>
        <v>45485</v>
      </c>
      <c r="B1943" s="72">
        <f t="shared" si="40"/>
        <v>0.36</v>
      </c>
      <c r="C1943" s="157">
        <f t="shared" si="41"/>
        <v>918.92</v>
      </c>
    </row>
    <row r="1944" spans="1:3" x14ac:dyDescent="0.25">
      <c r="A1944" s="15">
        <f t="shared" si="39"/>
        <v>45488</v>
      </c>
      <c r="B1944" s="72">
        <f t="shared" si="40"/>
        <v>0.36</v>
      </c>
      <c r="C1944" s="157">
        <f t="shared" si="41"/>
        <v>918.92</v>
      </c>
    </row>
    <row r="1945" spans="1:3" x14ac:dyDescent="0.25">
      <c r="A1945" s="15">
        <f t="shared" si="39"/>
        <v>45489</v>
      </c>
      <c r="B1945" s="72">
        <f t="shared" si="40"/>
        <v>0.36</v>
      </c>
      <c r="C1945" s="157">
        <f t="shared" si="41"/>
        <v>918.92</v>
      </c>
    </row>
    <row r="1946" spans="1:3" x14ac:dyDescent="0.25">
      <c r="A1946" s="15">
        <f t="shared" si="39"/>
        <v>45490</v>
      </c>
      <c r="B1946" s="72">
        <f t="shared" si="40"/>
        <v>0.36</v>
      </c>
      <c r="C1946" s="157">
        <f t="shared" si="41"/>
        <v>918.92</v>
      </c>
    </row>
    <row r="1947" spans="1:3" x14ac:dyDescent="0.25">
      <c r="A1947" s="15">
        <f t="shared" si="39"/>
        <v>45491</v>
      </c>
      <c r="B1947" s="72">
        <f t="shared" si="40"/>
        <v>0.36</v>
      </c>
      <c r="C1947" s="157">
        <f t="shared" si="41"/>
        <v>918.92</v>
      </c>
    </row>
    <row r="1948" spans="1:3" ht="15.75" x14ac:dyDescent="0.25">
      <c r="A1948" s="15">
        <f t="shared" si="39"/>
        <v>45492</v>
      </c>
      <c r="B1948" s="530">
        <v>0.37874999999999998</v>
      </c>
      <c r="C1948" s="157">
        <f t="shared" si="41"/>
        <v>918.92</v>
      </c>
    </row>
    <row r="1949" spans="1:3" ht="15.75" x14ac:dyDescent="0.25">
      <c r="A1949" s="15">
        <f t="shared" si="39"/>
        <v>45495</v>
      </c>
      <c r="B1949" s="72">
        <f t="shared" si="40"/>
        <v>0.37874999999999998</v>
      </c>
      <c r="C1949" s="529">
        <v>927.08</v>
      </c>
    </row>
    <row r="1950" spans="1:3" x14ac:dyDescent="0.25">
      <c r="A1950" s="15">
        <f t="shared" si="39"/>
        <v>45496</v>
      </c>
      <c r="B1950" s="72">
        <f t="shared" si="40"/>
        <v>0.37874999999999998</v>
      </c>
      <c r="C1950" s="157">
        <f t="shared" si="41"/>
        <v>927.08</v>
      </c>
    </row>
    <row r="1951" spans="1:3" x14ac:dyDescent="0.25">
      <c r="A1951" s="15">
        <f t="shared" si="39"/>
        <v>45497</v>
      </c>
      <c r="B1951" s="72">
        <f t="shared" si="40"/>
        <v>0.37874999999999998</v>
      </c>
      <c r="C1951" s="157">
        <f t="shared" si="41"/>
        <v>927.08</v>
      </c>
    </row>
    <row r="1952" spans="1:3" x14ac:dyDescent="0.25">
      <c r="A1952" s="15">
        <f t="shared" si="39"/>
        <v>45498</v>
      </c>
      <c r="B1952" s="72">
        <f t="shared" si="40"/>
        <v>0.37874999999999998</v>
      </c>
      <c r="C1952" s="157">
        <f t="shared" si="41"/>
        <v>927.08</v>
      </c>
    </row>
    <row r="1953" spans="1:3" x14ac:dyDescent="0.25">
      <c r="A1953" s="15">
        <f t="shared" si="39"/>
        <v>45499</v>
      </c>
      <c r="B1953" s="72">
        <f t="shared" si="40"/>
        <v>0.37874999999999998</v>
      </c>
      <c r="C1953" s="157">
        <f t="shared" si="41"/>
        <v>927.08</v>
      </c>
    </row>
    <row r="1954" spans="1:3" x14ac:dyDescent="0.25">
      <c r="A1954" s="15">
        <f t="shared" si="39"/>
        <v>45502</v>
      </c>
      <c r="B1954" s="72">
        <f t="shared" si="40"/>
        <v>0.37874999999999998</v>
      </c>
      <c r="C1954" s="157">
        <f t="shared" si="41"/>
        <v>927.08</v>
      </c>
    </row>
    <row r="1955" spans="1:3" x14ac:dyDescent="0.25">
      <c r="A1955" s="15">
        <f t="shared" si="39"/>
        <v>45503</v>
      </c>
      <c r="B1955" s="72">
        <f t="shared" si="40"/>
        <v>0.37874999999999998</v>
      </c>
      <c r="C1955" s="157">
        <f t="shared" si="41"/>
        <v>927.08</v>
      </c>
    </row>
    <row r="1956" spans="1:3" x14ac:dyDescent="0.25">
      <c r="A1956" s="15">
        <f t="shared" si="39"/>
        <v>45504</v>
      </c>
      <c r="B1956" s="72">
        <f t="shared" si="40"/>
        <v>0.37874999999999998</v>
      </c>
      <c r="C1956" s="157">
        <f t="shared" si="41"/>
        <v>927.08</v>
      </c>
    </row>
    <row r="1957" spans="1:3" x14ac:dyDescent="0.25">
      <c r="A1957" s="15">
        <f t="shared" si="39"/>
        <v>45505</v>
      </c>
      <c r="B1957" s="72">
        <f t="shared" si="40"/>
        <v>0.37874999999999998</v>
      </c>
      <c r="C1957" s="157">
        <f t="shared" si="41"/>
        <v>927.08</v>
      </c>
    </row>
    <row r="1958" spans="1:3" x14ac:dyDescent="0.25">
      <c r="A1958" s="15">
        <f t="shared" si="39"/>
        <v>45506</v>
      </c>
      <c r="B1958" s="72">
        <f t="shared" si="40"/>
        <v>0.37874999999999998</v>
      </c>
      <c r="C1958" s="157">
        <f t="shared" si="41"/>
        <v>927.08</v>
      </c>
    </row>
    <row r="1959" spans="1:3" ht="15.75" x14ac:dyDescent="0.25">
      <c r="A1959" s="15">
        <f t="shared" si="39"/>
        <v>45509</v>
      </c>
      <c r="B1959" s="530">
        <v>0.36749999999999999</v>
      </c>
      <c r="C1959" s="529">
        <v>936.5</v>
      </c>
    </row>
    <row r="1960" spans="1:3" x14ac:dyDescent="0.25">
      <c r="A1960" s="15">
        <f t="shared" si="39"/>
        <v>45510</v>
      </c>
      <c r="B1960" s="72">
        <f t="shared" si="40"/>
        <v>0.36749999999999999</v>
      </c>
      <c r="C1960" s="157">
        <f t="shared" si="41"/>
        <v>936.5</v>
      </c>
    </row>
    <row r="1961" spans="1:3" x14ac:dyDescent="0.25">
      <c r="A1961" s="15">
        <f t="shared" si="39"/>
        <v>45511</v>
      </c>
      <c r="B1961" s="72">
        <f t="shared" si="40"/>
        <v>0.36749999999999999</v>
      </c>
      <c r="C1961" s="157">
        <f>+C1960</f>
        <v>936.5</v>
      </c>
    </row>
    <row r="1962" spans="1:3" ht="15.75" x14ac:dyDescent="0.25">
      <c r="A1962" s="15">
        <f t="shared" si="39"/>
        <v>45512</v>
      </c>
      <c r="B1962" s="530">
        <v>0.37125000000000002</v>
      </c>
      <c r="C1962" s="157">
        <f t="shared" si="41"/>
        <v>936.5</v>
      </c>
    </row>
    <row r="1963" spans="1:3" ht="15.75" x14ac:dyDescent="0.25">
      <c r="A1963" s="15">
        <f t="shared" si="39"/>
        <v>45513</v>
      </c>
      <c r="B1963" s="72">
        <f t="shared" si="40"/>
        <v>0.37125000000000002</v>
      </c>
      <c r="C1963" s="529">
        <v>939.67</v>
      </c>
    </row>
    <row r="1964" spans="1:3" x14ac:dyDescent="0.25">
      <c r="A1964" s="15">
        <f t="shared" si="39"/>
        <v>45516</v>
      </c>
      <c r="B1964" s="72">
        <f t="shared" si="40"/>
        <v>0.37125000000000002</v>
      </c>
      <c r="C1964" s="157">
        <f t="shared" si="41"/>
        <v>939.67</v>
      </c>
    </row>
    <row r="1965" spans="1:3" x14ac:dyDescent="0.25">
      <c r="A1965" s="15">
        <f t="shared" si="39"/>
        <v>45517</v>
      </c>
      <c r="B1965" s="72">
        <f t="shared" si="40"/>
        <v>0.37125000000000002</v>
      </c>
      <c r="C1965" s="157">
        <f t="shared" si="41"/>
        <v>939.67</v>
      </c>
    </row>
    <row r="1966" spans="1:3" x14ac:dyDescent="0.25">
      <c r="A1966" s="15">
        <f t="shared" si="39"/>
        <v>45518</v>
      </c>
      <c r="B1966" s="72">
        <f t="shared" si="40"/>
        <v>0.37125000000000002</v>
      </c>
      <c r="C1966" s="157">
        <f t="shared" si="41"/>
        <v>939.67</v>
      </c>
    </row>
    <row r="1967" spans="1:3" x14ac:dyDescent="0.25">
      <c r="A1967" s="15">
        <f t="shared" si="39"/>
        <v>45519</v>
      </c>
      <c r="B1967" s="72">
        <f t="shared" si="40"/>
        <v>0.37125000000000002</v>
      </c>
      <c r="C1967" s="157">
        <f t="shared" si="41"/>
        <v>939.67</v>
      </c>
    </row>
    <row r="1968" spans="1:3" x14ac:dyDescent="0.25">
      <c r="A1968" s="15">
        <f t="shared" si="39"/>
        <v>45520</v>
      </c>
      <c r="B1968" s="72">
        <f t="shared" si="40"/>
        <v>0.37125000000000002</v>
      </c>
      <c r="C1968" s="157">
        <f t="shared" si="41"/>
        <v>939.67</v>
      </c>
    </row>
    <row r="1969" spans="1:3" ht="15.75" x14ac:dyDescent="0.25">
      <c r="A1969" s="15">
        <f t="shared" si="39"/>
        <v>45523</v>
      </c>
      <c r="B1969" s="530">
        <v>0.39250000000000002</v>
      </c>
      <c r="C1969" s="529">
        <v>961.75</v>
      </c>
    </row>
    <row r="1970" spans="1:3" x14ac:dyDescent="0.25">
      <c r="A1970" s="15">
        <f t="shared" si="39"/>
        <v>45524</v>
      </c>
      <c r="B1970" s="72">
        <f t="shared" si="40"/>
        <v>0.39250000000000002</v>
      </c>
      <c r="C1970" s="157">
        <f t="shared" si="41"/>
        <v>961.75</v>
      </c>
    </row>
    <row r="1971" spans="1:3" x14ac:dyDescent="0.25">
      <c r="A1971" s="15">
        <f t="shared" si="39"/>
        <v>45525</v>
      </c>
      <c r="B1971" s="72">
        <f t="shared" si="40"/>
        <v>0.39250000000000002</v>
      </c>
      <c r="C1971" s="157">
        <f t="shared" si="41"/>
        <v>961.75</v>
      </c>
    </row>
    <row r="1972" spans="1:3" x14ac:dyDescent="0.25">
      <c r="A1972" s="15">
        <f t="shared" si="39"/>
        <v>45526</v>
      </c>
      <c r="B1972" s="72">
        <f t="shared" si="40"/>
        <v>0.39250000000000002</v>
      </c>
      <c r="C1972" s="157">
        <f t="shared" si="41"/>
        <v>961.75</v>
      </c>
    </row>
    <row r="1973" spans="1:3" x14ac:dyDescent="0.25">
      <c r="A1973" s="15">
        <f t="shared" si="39"/>
        <v>45527</v>
      </c>
      <c r="B1973" s="72">
        <f t="shared" si="40"/>
        <v>0.39250000000000002</v>
      </c>
      <c r="C1973" s="157">
        <f t="shared" si="41"/>
        <v>961.75</v>
      </c>
    </row>
    <row r="1974" spans="1:3" x14ac:dyDescent="0.25">
      <c r="A1974" s="15">
        <f t="shared" si="39"/>
        <v>45530</v>
      </c>
      <c r="B1974" s="72">
        <f t="shared" si="40"/>
        <v>0.39250000000000002</v>
      </c>
      <c r="C1974" s="157">
        <f t="shared" si="41"/>
        <v>961.75</v>
      </c>
    </row>
    <row r="1975" spans="1:3" x14ac:dyDescent="0.25">
      <c r="A1975" s="15">
        <f t="shared" si="39"/>
        <v>45531</v>
      </c>
      <c r="B1975" s="72">
        <f t="shared" si="40"/>
        <v>0.39250000000000002</v>
      </c>
      <c r="C1975" s="157">
        <f t="shared" si="41"/>
        <v>961.75</v>
      </c>
    </row>
    <row r="1976" spans="1:3" x14ac:dyDescent="0.25">
      <c r="A1976" s="15">
        <f t="shared" si="39"/>
        <v>45532</v>
      </c>
      <c r="B1976" s="72">
        <f t="shared" si="40"/>
        <v>0.39250000000000002</v>
      </c>
      <c r="C1976" s="157">
        <f t="shared" si="41"/>
        <v>961.75</v>
      </c>
    </row>
    <row r="1977" spans="1:3" x14ac:dyDescent="0.25">
      <c r="A1977" s="15">
        <f t="shared" si="39"/>
        <v>45533</v>
      </c>
      <c r="B1977" s="72">
        <f t="shared" si="40"/>
        <v>0.39250000000000002</v>
      </c>
      <c r="C1977" s="157">
        <f t="shared" si="41"/>
        <v>961.75</v>
      </c>
    </row>
    <row r="1978" spans="1:3" x14ac:dyDescent="0.25">
      <c r="A1978" s="15">
        <f t="shared" si="39"/>
        <v>45534</v>
      </c>
      <c r="B1978" s="72">
        <f t="shared" si="40"/>
        <v>0.39250000000000002</v>
      </c>
      <c r="C1978" s="157">
        <f t="shared" si="41"/>
        <v>961.75</v>
      </c>
    </row>
    <row r="1979" spans="1:3" x14ac:dyDescent="0.25">
      <c r="A1979" s="15">
        <f t="shared" si="39"/>
        <v>45537</v>
      </c>
      <c r="B1979" s="72">
        <f t="shared" si="40"/>
        <v>0.39250000000000002</v>
      </c>
      <c r="C1979" s="157">
        <f t="shared" si="41"/>
        <v>961.75</v>
      </c>
    </row>
    <row r="1980" spans="1:3" x14ac:dyDescent="0.25">
      <c r="A1980" s="15">
        <f t="shared" ref="A1980:A2043" si="42">+WORKDAY.INTL(A1979,1,1,)</f>
        <v>45538</v>
      </c>
      <c r="B1980" s="72">
        <f t="shared" si="40"/>
        <v>0.39250000000000002</v>
      </c>
      <c r="C1980" s="157">
        <f t="shared" si="41"/>
        <v>961.75</v>
      </c>
    </row>
    <row r="1981" spans="1:3" x14ac:dyDescent="0.25">
      <c r="A1981" s="15">
        <f t="shared" si="42"/>
        <v>45539</v>
      </c>
      <c r="B1981" s="72">
        <f t="shared" si="40"/>
        <v>0.39250000000000002</v>
      </c>
      <c r="C1981" s="157">
        <f t="shared" si="41"/>
        <v>961.75</v>
      </c>
    </row>
    <row r="1982" spans="1:3" x14ac:dyDescent="0.25">
      <c r="A1982" s="15">
        <f t="shared" si="42"/>
        <v>45540</v>
      </c>
      <c r="B1982" s="72">
        <f t="shared" si="40"/>
        <v>0.39250000000000002</v>
      </c>
      <c r="C1982" s="157">
        <f t="shared" si="41"/>
        <v>961.75</v>
      </c>
    </row>
    <row r="1983" spans="1:3" x14ac:dyDescent="0.25">
      <c r="A1983" s="15">
        <f t="shared" si="42"/>
        <v>45541</v>
      </c>
      <c r="B1983" s="72">
        <f t="shared" si="40"/>
        <v>0.39250000000000002</v>
      </c>
      <c r="C1983" s="157">
        <f t="shared" si="41"/>
        <v>961.75</v>
      </c>
    </row>
    <row r="1984" spans="1:3" x14ac:dyDescent="0.25">
      <c r="A1984" s="15">
        <f t="shared" si="42"/>
        <v>45544</v>
      </c>
      <c r="B1984" s="72">
        <f t="shared" si="40"/>
        <v>0.39250000000000002</v>
      </c>
      <c r="C1984" s="157">
        <f t="shared" si="41"/>
        <v>961.75</v>
      </c>
    </row>
    <row r="1985" spans="1:3" x14ac:dyDescent="0.25">
      <c r="A1985" s="15">
        <f t="shared" si="42"/>
        <v>45545</v>
      </c>
      <c r="B1985" s="72">
        <f t="shared" si="40"/>
        <v>0.39250000000000002</v>
      </c>
      <c r="C1985" s="157">
        <f t="shared" si="41"/>
        <v>961.75</v>
      </c>
    </row>
    <row r="1986" spans="1:3" x14ac:dyDescent="0.25">
      <c r="A1986" s="15">
        <f t="shared" si="42"/>
        <v>45546</v>
      </c>
      <c r="B1986" s="72">
        <f t="shared" si="40"/>
        <v>0.39250000000000002</v>
      </c>
      <c r="C1986" s="157">
        <f t="shared" si="41"/>
        <v>961.75</v>
      </c>
    </row>
    <row r="1987" spans="1:3" x14ac:dyDescent="0.25">
      <c r="A1987" s="15">
        <f t="shared" si="42"/>
        <v>45547</v>
      </c>
      <c r="B1987" s="72">
        <f t="shared" si="40"/>
        <v>0.39250000000000002</v>
      </c>
      <c r="C1987" s="157">
        <f t="shared" si="41"/>
        <v>961.75</v>
      </c>
    </row>
    <row r="1988" spans="1:3" x14ac:dyDescent="0.25">
      <c r="A1988" s="15">
        <f t="shared" si="42"/>
        <v>45548</v>
      </c>
      <c r="B1988" s="72">
        <f t="shared" si="40"/>
        <v>0.39250000000000002</v>
      </c>
      <c r="C1988" s="157">
        <f t="shared" si="41"/>
        <v>961.75</v>
      </c>
    </row>
    <row r="1989" spans="1:3" x14ac:dyDescent="0.25">
      <c r="A1989" s="15">
        <f t="shared" si="42"/>
        <v>45551</v>
      </c>
      <c r="B1989" s="72">
        <f t="shared" si="40"/>
        <v>0.39250000000000002</v>
      </c>
      <c r="C1989" s="157">
        <f t="shared" si="41"/>
        <v>961.75</v>
      </c>
    </row>
    <row r="1990" spans="1:3" x14ac:dyDescent="0.25">
      <c r="A1990" s="15">
        <f t="shared" si="42"/>
        <v>45552</v>
      </c>
      <c r="B1990" s="72">
        <f t="shared" si="40"/>
        <v>0.39250000000000002</v>
      </c>
      <c r="C1990" s="157">
        <f t="shared" si="41"/>
        <v>961.75</v>
      </c>
    </row>
    <row r="1991" spans="1:3" x14ac:dyDescent="0.25">
      <c r="A1991" s="15">
        <f t="shared" si="42"/>
        <v>45553</v>
      </c>
      <c r="B1991" s="72">
        <f t="shared" si="40"/>
        <v>0.39250000000000002</v>
      </c>
      <c r="C1991" s="157">
        <f t="shared" si="41"/>
        <v>961.75</v>
      </c>
    </row>
    <row r="1992" spans="1:3" x14ac:dyDescent="0.25">
      <c r="A1992" s="15">
        <f t="shared" si="42"/>
        <v>45554</v>
      </c>
      <c r="B1992" s="72">
        <f t="shared" si="40"/>
        <v>0.39250000000000002</v>
      </c>
      <c r="C1992" s="157">
        <f t="shared" si="41"/>
        <v>961.75</v>
      </c>
    </row>
    <row r="1993" spans="1:3" x14ac:dyDescent="0.25">
      <c r="A1993" s="15">
        <f t="shared" si="42"/>
        <v>45555</v>
      </c>
      <c r="B1993" s="72">
        <f t="shared" si="40"/>
        <v>0.39250000000000002</v>
      </c>
      <c r="C1993" s="157">
        <f t="shared" si="41"/>
        <v>961.75</v>
      </c>
    </row>
    <row r="1994" spans="1:3" x14ac:dyDescent="0.25">
      <c r="A1994" s="15">
        <f t="shared" si="42"/>
        <v>45558</v>
      </c>
      <c r="B1994" s="72">
        <f t="shared" si="40"/>
        <v>0.39250000000000002</v>
      </c>
      <c r="C1994" s="157">
        <f t="shared" si="41"/>
        <v>961.75</v>
      </c>
    </row>
    <row r="1995" spans="1:3" x14ac:dyDescent="0.25">
      <c r="A1995" s="15">
        <f t="shared" si="42"/>
        <v>45559</v>
      </c>
      <c r="B1995" s="72">
        <f t="shared" ref="B1995:B2058" si="43">+B1994</f>
        <v>0.39250000000000002</v>
      </c>
      <c r="C1995" s="157">
        <f t="shared" si="41"/>
        <v>961.75</v>
      </c>
    </row>
    <row r="1996" spans="1:3" x14ac:dyDescent="0.25">
      <c r="A1996" s="15">
        <f t="shared" si="42"/>
        <v>45560</v>
      </c>
      <c r="B1996" s="72">
        <f t="shared" si="43"/>
        <v>0.39250000000000002</v>
      </c>
      <c r="C1996" s="157">
        <f t="shared" ref="C1996:C2058" si="44">+C1995</f>
        <v>961.75</v>
      </c>
    </row>
    <row r="1997" spans="1:3" x14ac:dyDescent="0.25">
      <c r="A1997" s="15">
        <f t="shared" si="42"/>
        <v>45561</v>
      </c>
      <c r="B1997" s="72">
        <f t="shared" si="43"/>
        <v>0.39250000000000002</v>
      </c>
      <c r="C1997" s="157">
        <f t="shared" si="44"/>
        <v>961.75</v>
      </c>
    </row>
    <row r="1998" spans="1:3" x14ac:dyDescent="0.25">
      <c r="A1998" s="15">
        <f t="shared" si="42"/>
        <v>45562</v>
      </c>
      <c r="B1998" s="72">
        <f t="shared" si="43"/>
        <v>0.39250000000000002</v>
      </c>
      <c r="C1998" s="157">
        <f t="shared" si="44"/>
        <v>961.75</v>
      </c>
    </row>
    <row r="1999" spans="1:3" x14ac:dyDescent="0.25">
      <c r="A1999" s="15">
        <f t="shared" si="42"/>
        <v>45565</v>
      </c>
      <c r="B1999" s="72">
        <f t="shared" si="43"/>
        <v>0.39250000000000002</v>
      </c>
      <c r="C1999" s="157">
        <f t="shared" si="44"/>
        <v>961.75</v>
      </c>
    </row>
    <row r="2000" spans="1:3" ht="15.75" x14ac:dyDescent="0.25">
      <c r="A2000" s="15">
        <f t="shared" si="42"/>
        <v>45566</v>
      </c>
      <c r="B2000" s="530">
        <v>0.39750000000000002</v>
      </c>
      <c r="C2000" s="529">
        <v>971.25</v>
      </c>
    </row>
    <row r="2001" spans="1:3" x14ac:dyDescent="0.25">
      <c r="A2001" s="15">
        <f t="shared" si="42"/>
        <v>45567</v>
      </c>
      <c r="B2001" s="72">
        <f t="shared" si="43"/>
        <v>0.39750000000000002</v>
      </c>
      <c r="C2001" s="157">
        <f t="shared" si="44"/>
        <v>971.25</v>
      </c>
    </row>
    <row r="2002" spans="1:3" x14ac:dyDescent="0.25">
      <c r="A2002" s="15">
        <f t="shared" si="42"/>
        <v>45568</v>
      </c>
      <c r="B2002" s="72">
        <f t="shared" si="43"/>
        <v>0.39750000000000002</v>
      </c>
      <c r="C2002" s="157">
        <f t="shared" si="44"/>
        <v>971.25</v>
      </c>
    </row>
    <row r="2003" spans="1:3" x14ac:dyDescent="0.25">
      <c r="A2003" s="15">
        <f t="shared" si="42"/>
        <v>45569</v>
      </c>
      <c r="B2003" s="72">
        <f t="shared" si="43"/>
        <v>0.39750000000000002</v>
      </c>
      <c r="C2003" s="157">
        <f t="shared" si="44"/>
        <v>971.25</v>
      </c>
    </row>
    <row r="2004" spans="1:3" ht="15.75" x14ac:dyDescent="0.25">
      <c r="A2004" s="15">
        <f t="shared" si="42"/>
        <v>45572</v>
      </c>
      <c r="B2004" s="530">
        <v>0.39812500000000001</v>
      </c>
      <c r="C2004" s="529">
        <v>975.5</v>
      </c>
    </row>
    <row r="2005" spans="1:3" x14ac:dyDescent="0.25">
      <c r="A2005" s="15">
        <f t="shared" si="42"/>
        <v>45573</v>
      </c>
      <c r="B2005" s="72">
        <f t="shared" si="43"/>
        <v>0.39812500000000001</v>
      </c>
      <c r="C2005" s="157">
        <f t="shared" si="44"/>
        <v>975.5</v>
      </c>
    </row>
    <row r="2006" spans="1:3" x14ac:dyDescent="0.25">
      <c r="A2006" s="15">
        <f t="shared" si="42"/>
        <v>45574</v>
      </c>
      <c r="B2006" s="72">
        <f t="shared" si="43"/>
        <v>0.39812500000000001</v>
      </c>
      <c r="C2006" s="157">
        <f t="shared" si="44"/>
        <v>975.5</v>
      </c>
    </row>
    <row r="2007" spans="1:3" x14ac:dyDescent="0.25">
      <c r="A2007" s="15">
        <f t="shared" si="42"/>
        <v>45575</v>
      </c>
      <c r="B2007" s="72">
        <v>0.39624999999999999</v>
      </c>
      <c r="C2007" s="157">
        <f t="shared" si="44"/>
        <v>975.5</v>
      </c>
    </row>
    <row r="2008" spans="1:3" x14ac:dyDescent="0.25">
      <c r="A2008" s="15">
        <f t="shared" si="42"/>
        <v>45576</v>
      </c>
      <c r="B2008" s="72">
        <f t="shared" si="43"/>
        <v>0.39624999999999999</v>
      </c>
      <c r="C2008" s="157">
        <f t="shared" si="44"/>
        <v>975.5</v>
      </c>
    </row>
    <row r="2009" spans="1:3" x14ac:dyDescent="0.25">
      <c r="A2009" s="15">
        <f t="shared" si="42"/>
        <v>45579</v>
      </c>
      <c r="B2009" s="72">
        <f t="shared" si="43"/>
        <v>0.39624999999999999</v>
      </c>
      <c r="C2009" s="157">
        <v>980.17</v>
      </c>
    </row>
    <row r="2010" spans="1:3" x14ac:dyDescent="0.25">
      <c r="A2010" s="15">
        <f t="shared" si="42"/>
        <v>45580</v>
      </c>
      <c r="B2010" s="72">
        <f t="shared" si="43"/>
        <v>0.39624999999999999</v>
      </c>
      <c r="C2010" s="157">
        <f t="shared" si="44"/>
        <v>980.17</v>
      </c>
    </row>
    <row r="2011" spans="1:3" x14ac:dyDescent="0.25">
      <c r="A2011" s="15">
        <f t="shared" si="42"/>
        <v>45581</v>
      </c>
      <c r="B2011" s="72">
        <f t="shared" si="43"/>
        <v>0.39624999999999999</v>
      </c>
      <c r="C2011" s="157">
        <f t="shared" si="44"/>
        <v>980.17</v>
      </c>
    </row>
    <row r="2012" spans="1:3" x14ac:dyDescent="0.25">
      <c r="A2012" s="15">
        <f t="shared" si="42"/>
        <v>45582</v>
      </c>
      <c r="B2012" s="72">
        <f t="shared" si="43"/>
        <v>0.39624999999999999</v>
      </c>
      <c r="C2012" s="157">
        <f t="shared" si="44"/>
        <v>980.17</v>
      </c>
    </row>
    <row r="2013" spans="1:3" ht="15.75" x14ac:dyDescent="0.25">
      <c r="A2013" s="15">
        <f t="shared" si="42"/>
        <v>45583</v>
      </c>
      <c r="B2013" s="530">
        <v>0.40625</v>
      </c>
      <c r="C2013" s="157">
        <v>983.83</v>
      </c>
    </row>
    <row r="2014" spans="1:3" x14ac:dyDescent="0.25">
      <c r="A2014" s="15">
        <f t="shared" si="42"/>
        <v>45586</v>
      </c>
      <c r="B2014" s="72">
        <f t="shared" si="43"/>
        <v>0.40625</v>
      </c>
      <c r="C2014" s="157">
        <f t="shared" si="44"/>
        <v>983.83</v>
      </c>
    </row>
    <row r="2015" spans="1:3" x14ac:dyDescent="0.25">
      <c r="A2015" s="15">
        <f t="shared" si="42"/>
        <v>45587</v>
      </c>
      <c r="B2015" s="72">
        <f t="shared" si="43"/>
        <v>0.40625</v>
      </c>
      <c r="C2015" s="157">
        <f t="shared" si="44"/>
        <v>983.83</v>
      </c>
    </row>
    <row r="2016" spans="1:3" x14ac:dyDescent="0.25">
      <c r="A2016" s="15">
        <f t="shared" si="42"/>
        <v>45588</v>
      </c>
      <c r="B2016" s="72">
        <f t="shared" si="43"/>
        <v>0.40625</v>
      </c>
      <c r="C2016" s="157">
        <f t="shared" si="44"/>
        <v>983.83</v>
      </c>
    </row>
    <row r="2017" spans="1:3" x14ac:dyDescent="0.25">
      <c r="A2017" s="15">
        <f t="shared" si="42"/>
        <v>45589</v>
      </c>
      <c r="B2017" s="72">
        <f t="shared" si="43"/>
        <v>0.40625</v>
      </c>
      <c r="C2017" s="157">
        <f t="shared" si="44"/>
        <v>983.83</v>
      </c>
    </row>
    <row r="2018" spans="1:3" x14ac:dyDescent="0.25">
      <c r="A2018" s="15">
        <f t="shared" si="42"/>
        <v>45590</v>
      </c>
      <c r="B2018" s="72">
        <f t="shared" si="43"/>
        <v>0.40625</v>
      </c>
      <c r="C2018" s="157">
        <f t="shared" si="44"/>
        <v>983.83</v>
      </c>
    </row>
    <row r="2019" spans="1:3" x14ac:dyDescent="0.25">
      <c r="A2019" s="15">
        <f t="shared" si="42"/>
        <v>45593</v>
      </c>
      <c r="B2019" s="72">
        <f t="shared" si="43"/>
        <v>0.40625</v>
      </c>
      <c r="C2019" s="157">
        <f t="shared" si="44"/>
        <v>983.83</v>
      </c>
    </row>
    <row r="2020" spans="1:3" x14ac:dyDescent="0.25">
      <c r="A2020" s="15">
        <f t="shared" si="42"/>
        <v>45594</v>
      </c>
      <c r="B2020" s="72">
        <f t="shared" si="43"/>
        <v>0.40625</v>
      </c>
      <c r="C2020" s="157">
        <f t="shared" si="44"/>
        <v>983.83</v>
      </c>
    </row>
    <row r="2021" spans="1:3" x14ac:dyDescent="0.25">
      <c r="A2021" s="15">
        <f t="shared" si="42"/>
        <v>45595</v>
      </c>
      <c r="B2021" s="72">
        <f t="shared" si="43"/>
        <v>0.40625</v>
      </c>
      <c r="C2021" s="157">
        <f t="shared" si="44"/>
        <v>983.83</v>
      </c>
    </row>
    <row r="2022" spans="1:3" x14ac:dyDescent="0.25">
      <c r="A2022" s="15">
        <f t="shared" si="42"/>
        <v>45596</v>
      </c>
      <c r="B2022" s="72">
        <f t="shared" si="43"/>
        <v>0.40625</v>
      </c>
      <c r="C2022" s="157">
        <f t="shared" si="44"/>
        <v>983.83</v>
      </c>
    </row>
    <row r="2023" spans="1:3" x14ac:dyDescent="0.25">
      <c r="A2023" s="15">
        <f t="shared" si="42"/>
        <v>45597</v>
      </c>
      <c r="B2023" s="72">
        <f t="shared" si="43"/>
        <v>0.40625</v>
      </c>
      <c r="C2023" s="157">
        <f t="shared" si="44"/>
        <v>983.83</v>
      </c>
    </row>
    <row r="2024" spans="1:3" x14ac:dyDescent="0.25">
      <c r="A2024" s="15">
        <f t="shared" si="42"/>
        <v>45600</v>
      </c>
      <c r="B2024" s="72">
        <f t="shared" si="43"/>
        <v>0.40625</v>
      </c>
      <c r="C2024" s="157">
        <f t="shared" si="44"/>
        <v>983.83</v>
      </c>
    </row>
    <row r="2025" spans="1:3" x14ac:dyDescent="0.25">
      <c r="A2025" s="15">
        <f t="shared" si="42"/>
        <v>45601</v>
      </c>
      <c r="B2025" s="72">
        <f t="shared" si="43"/>
        <v>0.40625</v>
      </c>
      <c r="C2025" s="157">
        <f t="shared" si="44"/>
        <v>983.83</v>
      </c>
    </row>
    <row r="2026" spans="1:3" ht="15.75" x14ac:dyDescent="0.25">
      <c r="A2026" s="15">
        <f t="shared" si="42"/>
        <v>45602</v>
      </c>
      <c r="B2026" s="530">
        <v>0.36687500000000001</v>
      </c>
      <c r="C2026" s="529">
        <v>994.75</v>
      </c>
    </row>
    <row r="2027" spans="1:3" x14ac:dyDescent="0.25">
      <c r="A2027" s="15">
        <f t="shared" si="42"/>
        <v>45603</v>
      </c>
      <c r="B2027" s="72">
        <f t="shared" si="43"/>
        <v>0.36687500000000001</v>
      </c>
      <c r="C2027" s="157">
        <f t="shared" si="44"/>
        <v>994.75</v>
      </c>
    </row>
    <row r="2028" spans="1:3" x14ac:dyDescent="0.25">
      <c r="A2028" s="15">
        <f t="shared" si="42"/>
        <v>45604</v>
      </c>
      <c r="B2028" s="72">
        <f t="shared" si="43"/>
        <v>0.36687500000000001</v>
      </c>
      <c r="C2028" s="157">
        <f t="shared" si="44"/>
        <v>994.75</v>
      </c>
    </row>
    <row r="2029" spans="1:3" x14ac:dyDescent="0.25">
      <c r="A2029" s="15">
        <f t="shared" si="42"/>
        <v>45607</v>
      </c>
      <c r="B2029" s="72">
        <f t="shared" si="43"/>
        <v>0.36687500000000001</v>
      </c>
      <c r="C2029" s="157">
        <f t="shared" si="44"/>
        <v>994.75</v>
      </c>
    </row>
    <row r="2030" spans="1:3" x14ac:dyDescent="0.25">
      <c r="A2030" s="15">
        <f t="shared" si="42"/>
        <v>45608</v>
      </c>
      <c r="B2030" s="72">
        <f t="shared" si="43"/>
        <v>0.36687500000000001</v>
      </c>
      <c r="C2030" s="157">
        <f t="shared" si="44"/>
        <v>994.75</v>
      </c>
    </row>
    <row r="2031" spans="1:3" x14ac:dyDescent="0.25">
      <c r="A2031" s="15">
        <f t="shared" si="42"/>
        <v>45609</v>
      </c>
      <c r="B2031" s="72">
        <f t="shared" si="43"/>
        <v>0.36687500000000001</v>
      </c>
      <c r="C2031" s="157">
        <f t="shared" si="44"/>
        <v>994.75</v>
      </c>
    </row>
    <row r="2032" spans="1:3" x14ac:dyDescent="0.25">
      <c r="A2032" s="15">
        <f t="shared" si="42"/>
        <v>45610</v>
      </c>
      <c r="B2032" s="72">
        <f t="shared" si="43"/>
        <v>0.36687500000000001</v>
      </c>
      <c r="C2032" s="157">
        <f t="shared" si="44"/>
        <v>994.75</v>
      </c>
    </row>
    <row r="2033" spans="1:3" x14ac:dyDescent="0.25">
      <c r="A2033" s="15">
        <f t="shared" si="42"/>
        <v>45611</v>
      </c>
      <c r="B2033" s="72">
        <f t="shared" si="43"/>
        <v>0.36687500000000001</v>
      </c>
      <c r="C2033" s="157">
        <f t="shared" si="44"/>
        <v>994.75</v>
      </c>
    </row>
    <row r="2034" spans="1:3" x14ac:dyDescent="0.25">
      <c r="A2034" s="15">
        <f t="shared" si="42"/>
        <v>45614</v>
      </c>
      <c r="B2034" s="72">
        <f t="shared" si="43"/>
        <v>0.36687500000000001</v>
      </c>
      <c r="C2034" s="157">
        <f t="shared" si="44"/>
        <v>994.75</v>
      </c>
    </row>
    <row r="2035" spans="1:3" ht="15.75" x14ac:dyDescent="0.25">
      <c r="A2035" s="15">
        <f t="shared" si="42"/>
        <v>45615</v>
      </c>
      <c r="B2035" s="530">
        <v>0.34687499999999999</v>
      </c>
      <c r="C2035" s="532">
        <v>1003.25</v>
      </c>
    </row>
    <row r="2036" spans="1:3" x14ac:dyDescent="0.25">
      <c r="A2036" s="15">
        <f t="shared" si="42"/>
        <v>45616</v>
      </c>
      <c r="B2036" s="72">
        <f t="shared" si="43"/>
        <v>0.34687499999999999</v>
      </c>
      <c r="C2036" s="157">
        <f t="shared" si="44"/>
        <v>1003.25</v>
      </c>
    </row>
    <row r="2037" spans="1:3" x14ac:dyDescent="0.25">
      <c r="A2037" s="15">
        <f t="shared" si="42"/>
        <v>45617</v>
      </c>
      <c r="B2037" s="72">
        <f t="shared" si="43"/>
        <v>0.34687499999999999</v>
      </c>
      <c r="C2037" s="157">
        <f t="shared" si="44"/>
        <v>1003.25</v>
      </c>
    </row>
    <row r="2038" spans="1:3" x14ac:dyDescent="0.25">
      <c r="A2038" s="15">
        <f t="shared" si="42"/>
        <v>45618</v>
      </c>
      <c r="B2038" s="72">
        <f t="shared" si="43"/>
        <v>0.34687499999999999</v>
      </c>
      <c r="C2038" s="157">
        <f t="shared" si="44"/>
        <v>1003.25</v>
      </c>
    </row>
    <row r="2039" spans="1:3" x14ac:dyDescent="0.25">
      <c r="A2039" s="15">
        <f t="shared" si="42"/>
        <v>45621</v>
      </c>
      <c r="B2039" s="72">
        <f t="shared" si="43"/>
        <v>0.34687499999999999</v>
      </c>
      <c r="C2039" s="157">
        <f t="shared" si="44"/>
        <v>1003.25</v>
      </c>
    </row>
    <row r="2040" spans="1:3" x14ac:dyDescent="0.25">
      <c r="A2040" s="15">
        <f t="shared" si="42"/>
        <v>45622</v>
      </c>
      <c r="B2040" s="72">
        <f t="shared" si="43"/>
        <v>0.34687499999999999</v>
      </c>
      <c r="C2040" s="157">
        <f t="shared" si="44"/>
        <v>1003.25</v>
      </c>
    </row>
    <row r="2041" spans="1:3" x14ac:dyDescent="0.25">
      <c r="A2041" s="15">
        <f t="shared" si="42"/>
        <v>45623</v>
      </c>
      <c r="B2041" s="72">
        <f t="shared" si="43"/>
        <v>0.34687499999999999</v>
      </c>
      <c r="C2041" s="157">
        <f t="shared" si="44"/>
        <v>1003.25</v>
      </c>
    </row>
    <row r="2042" spans="1:3" x14ac:dyDescent="0.25">
      <c r="A2042" s="15">
        <f t="shared" si="42"/>
        <v>45624</v>
      </c>
      <c r="B2042" s="72">
        <f t="shared" si="43"/>
        <v>0.34687499999999999</v>
      </c>
      <c r="C2042" s="157">
        <f t="shared" si="44"/>
        <v>1003.25</v>
      </c>
    </row>
    <row r="2043" spans="1:3" x14ac:dyDescent="0.25">
      <c r="A2043" s="15">
        <f t="shared" si="42"/>
        <v>45625</v>
      </c>
      <c r="B2043" s="72">
        <f t="shared" si="43"/>
        <v>0.34687499999999999</v>
      </c>
      <c r="C2043" s="157">
        <f t="shared" si="44"/>
        <v>1003.25</v>
      </c>
    </row>
    <row r="2044" spans="1:3" x14ac:dyDescent="0.25">
      <c r="A2044" s="15">
        <f t="shared" ref="A2044:A2107" si="45">+WORKDAY.INTL(A2043,1,1,)</f>
        <v>45628</v>
      </c>
      <c r="B2044" s="72">
        <f t="shared" si="43"/>
        <v>0.34687499999999999</v>
      </c>
      <c r="C2044" s="157">
        <f t="shared" si="44"/>
        <v>1003.25</v>
      </c>
    </row>
    <row r="2045" spans="1:3" x14ac:dyDescent="0.25">
      <c r="A2045" s="15">
        <f t="shared" si="45"/>
        <v>45629</v>
      </c>
      <c r="B2045" s="72">
        <f t="shared" si="43"/>
        <v>0.34687499999999999</v>
      </c>
      <c r="C2045" s="157">
        <f t="shared" si="44"/>
        <v>1003.25</v>
      </c>
    </row>
    <row r="2046" spans="1:3" x14ac:dyDescent="0.25">
      <c r="A2046" s="15">
        <f t="shared" si="45"/>
        <v>45630</v>
      </c>
      <c r="B2046" s="72">
        <f t="shared" si="43"/>
        <v>0.34687499999999999</v>
      </c>
      <c r="C2046" s="157">
        <f t="shared" si="44"/>
        <v>1003.25</v>
      </c>
    </row>
    <row r="2047" spans="1:3" x14ac:dyDescent="0.25">
      <c r="A2047" s="15">
        <f t="shared" si="45"/>
        <v>45631</v>
      </c>
      <c r="B2047" s="72">
        <f t="shared" si="43"/>
        <v>0.34687499999999999</v>
      </c>
      <c r="C2047" s="157">
        <f t="shared" si="44"/>
        <v>1003.25</v>
      </c>
    </row>
    <row r="2048" spans="1:3" x14ac:dyDescent="0.25">
      <c r="A2048" s="15">
        <f t="shared" si="45"/>
        <v>45632</v>
      </c>
      <c r="B2048" s="72">
        <f t="shared" si="43"/>
        <v>0.34687499999999999</v>
      </c>
      <c r="C2048" s="157">
        <f t="shared" si="44"/>
        <v>1003.25</v>
      </c>
    </row>
    <row r="2049" spans="1:3" ht="15.75" x14ac:dyDescent="0.25">
      <c r="A2049" s="15">
        <f t="shared" si="45"/>
        <v>45635</v>
      </c>
      <c r="B2049" s="530">
        <v>0.35375000000000001</v>
      </c>
      <c r="C2049" s="532">
        <v>1015.75</v>
      </c>
    </row>
    <row r="2050" spans="1:3" x14ac:dyDescent="0.25">
      <c r="A2050" s="15">
        <f t="shared" si="45"/>
        <v>45636</v>
      </c>
      <c r="B2050" s="72">
        <f t="shared" si="43"/>
        <v>0.35375000000000001</v>
      </c>
      <c r="C2050" s="157">
        <f t="shared" si="44"/>
        <v>1015.75</v>
      </c>
    </row>
    <row r="2051" spans="1:3" x14ac:dyDescent="0.25">
      <c r="A2051" s="15">
        <f t="shared" si="45"/>
        <v>45637</v>
      </c>
      <c r="B2051" s="72">
        <f t="shared" si="43"/>
        <v>0.35375000000000001</v>
      </c>
      <c r="C2051" s="157">
        <f t="shared" si="44"/>
        <v>1015.75</v>
      </c>
    </row>
    <row r="2052" spans="1:3" x14ac:dyDescent="0.25">
      <c r="A2052" s="15">
        <f t="shared" si="45"/>
        <v>45638</v>
      </c>
      <c r="B2052" s="72">
        <f t="shared" si="43"/>
        <v>0.35375000000000001</v>
      </c>
      <c r="C2052" s="157">
        <f t="shared" si="44"/>
        <v>1015.75</v>
      </c>
    </row>
    <row r="2053" spans="1:3" x14ac:dyDescent="0.25">
      <c r="A2053" s="15">
        <f t="shared" si="45"/>
        <v>45639</v>
      </c>
      <c r="B2053" s="72">
        <f t="shared" si="43"/>
        <v>0.35375000000000001</v>
      </c>
      <c r="C2053" s="157">
        <f t="shared" si="44"/>
        <v>1015.75</v>
      </c>
    </row>
    <row r="2054" spans="1:3" x14ac:dyDescent="0.25">
      <c r="A2054" s="15">
        <f t="shared" si="45"/>
        <v>45642</v>
      </c>
      <c r="B2054" s="72">
        <f t="shared" si="43"/>
        <v>0.35375000000000001</v>
      </c>
      <c r="C2054" s="157">
        <f t="shared" si="44"/>
        <v>1015.75</v>
      </c>
    </row>
    <row r="2055" spans="1:3" x14ac:dyDescent="0.25">
      <c r="A2055" s="15">
        <f t="shared" si="45"/>
        <v>45643</v>
      </c>
      <c r="B2055" s="72">
        <f t="shared" si="43"/>
        <v>0.35375000000000001</v>
      </c>
      <c r="C2055" s="157">
        <f t="shared" si="44"/>
        <v>1015.75</v>
      </c>
    </row>
    <row r="2056" spans="1:3" x14ac:dyDescent="0.25">
      <c r="A2056" s="15">
        <f t="shared" si="45"/>
        <v>45644</v>
      </c>
      <c r="B2056" s="72">
        <f t="shared" si="43"/>
        <v>0.35375000000000001</v>
      </c>
      <c r="C2056" s="157">
        <f t="shared" si="44"/>
        <v>1015.75</v>
      </c>
    </row>
    <row r="2057" spans="1:3" x14ac:dyDescent="0.25">
      <c r="A2057" s="15">
        <f t="shared" si="45"/>
        <v>45645</v>
      </c>
      <c r="B2057" s="72">
        <f t="shared" si="43"/>
        <v>0.35375000000000001</v>
      </c>
      <c r="C2057" s="157">
        <f t="shared" si="44"/>
        <v>1015.75</v>
      </c>
    </row>
    <row r="2058" spans="1:3" x14ac:dyDescent="0.25">
      <c r="A2058" s="15">
        <f t="shared" si="45"/>
        <v>45646</v>
      </c>
      <c r="B2058" s="72">
        <f t="shared" si="43"/>
        <v>0.35375000000000001</v>
      </c>
      <c r="C2058" s="157">
        <f t="shared" si="44"/>
        <v>1015.75</v>
      </c>
    </row>
    <row r="2059" spans="1:3" ht="15.75" x14ac:dyDescent="0.25">
      <c r="A2059" s="15">
        <f t="shared" si="45"/>
        <v>45649</v>
      </c>
      <c r="B2059" s="530">
        <v>0.31687500000000002</v>
      </c>
      <c r="C2059" s="157">
        <v>1025.42</v>
      </c>
    </row>
    <row r="2060" spans="1:3" x14ac:dyDescent="0.25">
      <c r="A2060" s="15">
        <f t="shared" si="45"/>
        <v>45650</v>
      </c>
      <c r="B2060" s="72">
        <f t="shared" ref="B2060:B2122" si="46">+B2059</f>
        <v>0.31687500000000002</v>
      </c>
      <c r="C2060" s="157">
        <f t="shared" ref="C2060:C2123" si="47">+C2059</f>
        <v>1025.42</v>
      </c>
    </row>
    <row r="2061" spans="1:3" x14ac:dyDescent="0.25">
      <c r="A2061" s="15">
        <f t="shared" si="45"/>
        <v>45651</v>
      </c>
      <c r="B2061" s="72">
        <f t="shared" si="46"/>
        <v>0.31687500000000002</v>
      </c>
      <c r="C2061" s="157">
        <f t="shared" si="47"/>
        <v>1025.42</v>
      </c>
    </row>
    <row r="2062" spans="1:3" x14ac:dyDescent="0.25">
      <c r="A2062" s="15">
        <f t="shared" si="45"/>
        <v>45652</v>
      </c>
      <c r="B2062" s="72">
        <f t="shared" si="46"/>
        <v>0.31687500000000002</v>
      </c>
      <c r="C2062" s="157">
        <f t="shared" si="47"/>
        <v>1025.42</v>
      </c>
    </row>
    <row r="2063" spans="1:3" x14ac:dyDescent="0.25">
      <c r="A2063" s="15">
        <f t="shared" si="45"/>
        <v>45653</v>
      </c>
      <c r="B2063" s="72">
        <f t="shared" si="46"/>
        <v>0.31687500000000002</v>
      </c>
      <c r="C2063" s="157">
        <f t="shared" si="47"/>
        <v>1025.42</v>
      </c>
    </row>
    <row r="2064" spans="1:3" x14ac:dyDescent="0.25">
      <c r="A2064" s="15">
        <f t="shared" si="45"/>
        <v>45656</v>
      </c>
      <c r="B2064" s="72">
        <f t="shared" si="46"/>
        <v>0.31687500000000002</v>
      </c>
      <c r="C2064" s="157">
        <f t="shared" si="47"/>
        <v>1025.42</v>
      </c>
    </row>
    <row r="2065" spans="1:3" x14ac:dyDescent="0.25">
      <c r="A2065" s="15">
        <f t="shared" si="45"/>
        <v>45657</v>
      </c>
      <c r="B2065" s="72">
        <f t="shared" si="46"/>
        <v>0.31687500000000002</v>
      </c>
      <c r="C2065" s="157">
        <f t="shared" si="47"/>
        <v>1025.42</v>
      </c>
    </row>
    <row r="2066" spans="1:3" x14ac:dyDescent="0.25">
      <c r="A2066" s="15">
        <f t="shared" si="45"/>
        <v>45658</v>
      </c>
      <c r="B2066" s="72">
        <f t="shared" si="46"/>
        <v>0.31687500000000002</v>
      </c>
      <c r="C2066" s="157">
        <f t="shared" si="47"/>
        <v>1025.42</v>
      </c>
    </row>
    <row r="2067" spans="1:3" x14ac:dyDescent="0.25">
      <c r="A2067" s="15">
        <f t="shared" si="45"/>
        <v>45659</v>
      </c>
      <c r="B2067" s="72">
        <f t="shared" si="46"/>
        <v>0.31687500000000002</v>
      </c>
      <c r="C2067" s="157">
        <f t="shared" si="47"/>
        <v>1025.42</v>
      </c>
    </row>
    <row r="2068" spans="1:3" x14ac:dyDescent="0.25">
      <c r="A2068" s="15">
        <f t="shared" si="45"/>
        <v>45660</v>
      </c>
      <c r="B2068" s="72">
        <f t="shared" si="46"/>
        <v>0.31687500000000002</v>
      </c>
      <c r="C2068" s="157">
        <f t="shared" si="47"/>
        <v>1025.42</v>
      </c>
    </row>
    <row r="2069" spans="1:3" x14ac:dyDescent="0.25">
      <c r="A2069" s="15">
        <f t="shared" si="45"/>
        <v>45663</v>
      </c>
      <c r="B2069" s="72">
        <f t="shared" si="46"/>
        <v>0.31687500000000002</v>
      </c>
      <c r="C2069" s="157">
        <f t="shared" si="47"/>
        <v>1025.42</v>
      </c>
    </row>
    <row r="2070" spans="1:3" ht="15.75" x14ac:dyDescent="0.25">
      <c r="A2070" s="15">
        <f t="shared" si="45"/>
        <v>45664</v>
      </c>
      <c r="B2070" s="530">
        <v>0.32750000000000001</v>
      </c>
      <c r="C2070" s="532">
        <v>1036.25</v>
      </c>
    </row>
    <row r="2071" spans="1:3" x14ac:dyDescent="0.25">
      <c r="A2071" s="15">
        <f t="shared" si="45"/>
        <v>45665</v>
      </c>
      <c r="B2071" s="72">
        <f t="shared" si="46"/>
        <v>0.32750000000000001</v>
      </c>
      <c r="C2071" s="157">
        <f t="shared" si="47"/>
        <v>1036.25</v>
      </c>
    </row>
    <row r="2072" spans="1:3" x14ac:dyDescent="0.25">
      <c r="A2072" s="15">
        <f t="shared" si="45"/>
        <v>45666</v>
      </c>
      <c r="B2072" s="72">
        <f t="shared" si="46"/>
        <v>0.32750000000000001</v>
      </c>
      <c r="C2072" s="157">
        <f t="shared" si="47"/>
        <v>1036.25</v>
      </c>
    </row>
    <row r="2073" spans="1:3" ht="15.75" x14ac:dyDescent="0.25">
      <c r="A2073" s="15">
        <f t="shared" si="45"/>
        <v>45667</v>
      </c>
      <c r="B2073" s="530">
        <v>0.31187500000000001</v>
      </c>
      <c r="C2073" s="157">
        <f t="shared" si="47"/>
        <v>1036.25</v>
      </c>
    </row>
    <row r="2074" spans="1:3" ht="15.75" x14ac:dyDescent="0.25">
      <c r="A2074" s="15">
        <f t="shared" si="45"/>
        <v>45670</v>
      </c>
      <c r="B2074" s="72">
        <f t="shared" si="46"/>
        <v>0.31187500000000001</v>
      </c>
      <c r="C2074" s="532">
        <v>1040.25</v>
      </c>
    </row>
    <row r="2075" spans="1:3" x14ac:dyDescent="0.25">
      <c r="A2075" s="15">
        <f t="shared" si="45"/>
        <v>45671</v>
      </c>
      <c r="B2075" s="72">
        <f t="shared" si="46"/>
        <v>0.31187500000000001</v>
      </c>
      <c r="C2075" s="157">
        <f t="shared" si="47"/>
        <v>1040.25</v>
      </c>
    </row>
    <row r="2076" spans="1:3" x14ac:dyDescent="0.25">
      <c r="A2076" s="15">
        <f t="shared" si="45"/>
        <v>45672</v>
      </c>
      <c r="B2076" s="72">
        <f t="shared" si="46"/>
        <v>0.31187500000000001</v>
      </c>
      <c r="C2076" s="157">
        <f t="shared" si="47"/>
        <v>1040.25</v>
      </c>
    </row>
    <row r="2077" spans="1:3" x14ac:dyDescent="0.25">
      <c r="A2077" s="15">
        <f t="shared" si="45"/>
        <v>45673</v>
      </c>
      <c r="B2077" s="72">
        <f t="shared" si="46"/>
        <v>0.31187500000000001</v>
      </c>
      <c r="C2077" s="157">
        <f t="shared" si="47"/>
        <v>1040.25</v>
      </c>
    </row>
    <row r="2078" spans="1:3" x14ac:dyDescent="0.25">
      <c r="A2078" s="15">
        <f t="shared" si="45"/>
        <v>45674</v>
      </c>
      <c r="B2078" s="72">
        <f t="shared" si="46"/>
        <v>0.31187500000000001</v>
      </c>
      <c r="C2078" s="157">
        <f t="shared" si="47"/>
        <v>1040.25</v>
      </c>
    </row>
    <row r="2079" spans="1:3" x14ac:dyDescent="0.25">
      <c r="A2079" s="15">
        <f t="shared" si="45"/>
        <v>45677</v>
      </c>
      <c r="B2079" s="72">
        <f t="shared" si="46"/>
        <v>0.31187500000000001</v>
      </c>
      <c r="C2079" s="157">
        <f t="shared" si="47"/>
        <v>1040.25</v>
      </c>
    </row>
    <row r="2080" spans="1:3" x14ac:dyDescent="0.25">
      <c r="A2080" s="15">
        <f t="shared" si="45"/>
        <v>45678</v>
      </c>
      <c r="B2080" s="72">
        <f t="shared" si="46"/>
        <v>0.31187500000000001</v>
      </c>
      <c r="C2080" s="157">
        <f t="shared" si="47"/>
        <v>1040.25</v>
      </c>
    </row>
    <row r="2081" spans="1:3" x14ac:dyDescent="0.25">
      <c r="A2081" s="15">
        <f t="shared" si="45"/>
        <v>45679</v>
      </c>
      <c r="B2081" s="72">
        <f t="shared" si="46"/>
        <v>0.31187500000000001</v>
      </c>
      <c r="C2081" s="157">
        <f t="shared" si="47"/>
        <v>1040.25</v>
      </c>
    </row>
    <row r="2082" spans="1:3" x14ac:dyDescent="0.25">
      <c r="A2082" s="15">
        <f t="shared" si="45"/>
        <v>45680</v>
      </c>
      <c r="B2082" s="72">
        <f t="shared" si="46"/>
        <v>0.31187500000000001</v>
      </c>
      <c r="C2082" s="157">
        <f t="shared" si="47"/>
        <v>1040.25</v>
      </c>
    </row>
    <row r="2083" spans="1:3" x14ac:dyDescent="0.25">
      <c r="A2083" s="15">
        <f t="shared" si="45"/>
        <v>45681</v>
      </c>
      <c r="B2083" s="72">
        <f t="shared" si="46"/>
        <v>0.31187500000000001</v>
      </c>
      <c r="C2083" s="157">
        <f t="shared" si="47"/>
        <v>1040.25</v>
      </c>
    </row>
    <row r="2084" spans="1:3" ht="15.75" x14ac:dyDescent="0.25">
      <c r="A2084" s="15">
        <f t="shared" si="45"/>
        <v>45684</v>
      </c>
      <c r="B2084" s="530">
        <v>0.30437500000000001</v>
      </c>
      <c r="C2084" s="532">
        <v>1050.92</v>
      </c>
    </row>
    <row r="2085" spans="1:3" x14ac:dyDescent="0.25">
      <c r="A2085" s="15">
        <f t="shared" si="45"/>
        <v>45685</v>
      </c>
      <c r="B2085" s="72">
        <f t="shared" si="46"/>
        <v>0.30437500000000001</v>
      </c>
      <c r="C2085" s="157">
        <f t="shared" si="47"/>
        <v>1050.92</v>
      </c>
    </row>
    <row r="2086" spans="1:3" x14ac:dyDescent="0.25">
      <c r="A2086" s="15">
        <f t="shared" si="45"/>
        <v>45686</v>
      </c>
      <c r="B2086" s="72">
        <f t="shared" si="46"/>
        <v>0.30437500000000001</v>
      </c>
      <c r="C2086" s="157">
        <f t="shared" si="47"/>
        <v>1050.92</v>
      </c>
    </row>
    <row r="2087" spans="1:3" x14ac:dyDescent="0.25">
      <c r="A2087" s="15">
        <f t="shared" si="45"/>
        <v>45687</v>
      </c>
      <c r="B2087" s="72">
        <f t="shared" si="46"/>
        <v>0.30437500000000001</v>
      </c>
      <c r="C2087" s="157">
        <f t="shared" si="47"/>
        <v>1050.92</v>
      </c>
    </row>
    <row r="2088" spans="1:3" x14ac:dyDescent="0.25">
      <c r="A2088" s="15">
        <f t="shared" si="45"/>
        <v>45688</v>
      </c>
      <c r="B2088" s="72">
        <f t="shared" si="46"/>
        <v>0.30437500000000001</v>
      </c>
      <c r="C2088" s="157">
        <f t="shared" si="47"/>
        <v>1050.92</v>
      </c>
    </row>
    <row r="2089" spans="1:3" ht="15.75" x14ac:dyDescent="0.25">
      <c r="A2089" s="15">
        <f t="shared" si="45"/>
        <v>45691</v>
      </c>
      <c r="B2089" s="530">
        <v>0.29499999999999998</v>
      </c>
      <c r="C2089" s="157">
        <v>1054.71</v>
      </c>
    </row>
    <row r="2090" spans="1:3" x14ac:dyDescent="0.25">
      <c r="A2090" s="15">
        <f t="shared" si="45"/>
        <v>45692</v>
      </c>
      <c r="B2090" s="72">
        <f t="shared" si="46"/>
        <v>0.29499999999999998</v>
      </c>
      <c r="C2090" s="157">
        <f t="shared" si="47"/>
        <v>1054.71</v>
      </c>
    </row>
    <row r="2091" spans="1:3" x14ac:dyDescent="0.25">
      <c r="A2091" s="15">
        <f t="shared" si="45"/>
        <v>45693</v>
      </c>
      <c r="B2091" s="72">
        <f t="shared" si="46"/>
        <v>0.29499999999999998</v>
      </c>
      <c r="C2091" s="157">
        <f t="shared" si="47"/>
        <v>1054.71</v>
      </c>
    </row>
    <row r="2092" spans="1:3" x14ac:dyDescent="0.25">
      <c r="A2092" s="15">
        <f t="shared" si="45"/>
        <v>45694</v>
      </c>
      <c r="B2092" s="72">
        <f t="shared" si="46"/>
        <v>0.29499999999999998</v>
      </c>
      <c r="C2092" s="157">
        <f t="shared" si="47"/>
        <v>1054.71</v>
      </c>
    </row>
    <row r="2093" spans="1:3" x14ac:dyDescent="0.25">
      <c r="A2093" s="15">
        <f t="shared" si="45"/>
        <v>45695</v>
      </c>
      <c r="B2093" s="72">
        <f t="shared" si="46"/>
        <v>0.29499999999999998</v>
      </c>
      <c r="C2093" s="157">
        <f t="shared" si="47"/>
        <v>1054.71</v>
      </c>
    </row>
    <row r="2094" spans="1:3" ht="15.75" x14ac:dyDescent="0.25">
      <c r="A2094" s="15">
        <f t="shared" si="45"/>
        <v>45698</v>
      </c>
      <c r="B2094" s="530">
        <v>0.28499999999999998</v>
      </c>
      <c r="C2094" s="532">
        <v>1056.6300000000001</v>
      </c>
    </row>
    <row r="2095" spans="1:3" x14ac:dyDescent="0.25">
      <c r="A2095" s="15">
        <f t="shared" si="45"/>
        <v>45699</v>
      </c>
      <c r="B2095" s="72">
        <f t="shared" si="46"/>
        <v>0.28499999999999998</v>
      </c>
      <c r="C2095" s="157">
        <f t="shared" si="47"/>
        <v>1056.6300000000001</v>
      </c>
    </row>
    <row r="2096" spans="1:3" x14ac:dyDescent="0.25">
      <c r="A2096" s="15">
        <f t="shared" si="45"/>
        <v>45700</v>
      </c>
      <c r="B2096" s="72">
        <f t="shared" si="46"/>
        <v>0.28499999999999998</v>
      </c>
      <c r="C2096" s="157">
        <f t="shared" si="47"/>
        <v>1056.6300000000001</v>
      </c>
    </row>
    <row r="2097" spans="1:3" x14ac:dyDescent="0.25">
      <c r="A2097" s="15">
        <f t="shared" si="45"/>
        <v>45701</v>
      </c>
      <c r="B2097" s="72">
        <f t="shared" si="46"/>
        <v>0.28499999999999998</v>
      </c>
      <c r="C2097" s="157">
        <f t="shared" si="47"/>
        <v>1056.6300000000001</v>
      </c>
    </row>
    <row r="2098" spans="1:3" x14ac:dyDescent="0.25">
      <c r="A2098" s="15">
        <f t="shared" si="45"/>
        <v>45702</v>
      </c>
      <c r="B2098" s="72">
        <f t="shared" si="46"/>
        <v>0.28499999999999998</v>
      </c>
      <c r="C2098" s="157">
        <f t="shared" si="47"/>
        <v>1056.6300000000001</v>
      </c>
    </row>
    <row r="2099" spans="1:3" x14ac:dyDescent="0.25">
      <c r="A2099" s="15">
        <f t="shared" si="45"/>
        <v>45705</v>
      </c>
      <c r="B2099" s="72">
        <f t="shared" si="46"/>
        <v>0.28499999999999998</v>
      </c>
      <c r="C2099" s="157">
        <f t="shared" si="47"/>
        <v>1056.6300000000001</v>
      </c>
    </row>
    <row r="2100" spans="1:3" x14ac:dyDescent="0.25">
      <c r="A2100" s="15">
        <f t="shared" si="45"/>
        <v>45706</v>
      </c>
      <c r="B2100" s="72">
        <f t="shared" si="46"/>
        <v>0.28499999999999998</v>
      </c>
      <c r="C2100" s="157">
        <f t="shared" si="47"/>
        <v>1056.6300000000001</v>
      </c>
    </row>
    <row r="2101" spans="1:3" x14ac:dyDescent="0.25">
      <c r="A2101" s="15">
        <f t="shared" si="45"/>
        <v>45707</v>
      </c>
      <c r="B2101" s="72">
        <f t="shared" si="46"/>
        <v>0.28499999999999998</v>
      </c>
      <c r="C2101" s="157">
        <f t="shared" si="47"/>
        <v>1056.6300000000001</v>
      </c>
    </row>
    <row r="2102" spans="1:3" x14ac:dyDescent="0.25">
      <c r="A2102" s="15">
        <f t="shared" si="45"/>
        <v>45708</v>
      </c>
      <c r="B2102" s="72">
        <f t="shared" si="46"/>
        <v>0.28499999999999998</v>
      </c>
      <c r="C2102" s="157">
        <f t="shared" si="47"/>
        <v>1056.6300000000001</v>
      </c>
    </row>
    <row r="2103" spans="1:3" x14ac:dyDescent="0.25">
      <c r="A2103" s="15">
        <f t="shared" si="45"/>
        <v>45709</v>
      </c>
      <c r="B2103" s="72">
        <f t="shared" si="46"/>
        <v>0.28499999999999998</v>
      </c>
      <c r="C2103" s="157">
        <f t="shared" si="47"/>
        <v>1056.6300000000001</v>
      </c>
    </row>
    <row r="2104" spans="1:3" ht="15.75" x14ac:dyDescent="0.25">
      <c r="A2104" s="15">
        <f t="shared" si="45"/>
        <v>45712</v>
      </c>
      <c r="B2104" s="530">
        <v>0.27937499999999998</v>
      </c>
      <c r="C2104" s="532">
        <v>1061.6300000000001</v>
      </c>
    </row>
    <row r="2105" spans="1:3" x14ac:dyDescent="0.25">
      <c r="A2105" s="15">
        <f t="shared" si="45"/>
        <v>45713</v>
      </c>
      <c r="B2105" s="72">
        <f t="shared" si="46"/>
        <v>0.27937499999999998</v>
      </c>
      <c r="C2105" s="157">
        <f t="shared" si="47"/>
        <v>1061.6300000000001</v>
      </c>
    </row>
    <row r="2106" spans="1:3" x14ac:dyDescent="0.25">
      <c r="A2106" s="15">
        <f t="shared" si="45"/>
        <v>45714</v>
      </c>
      <c r="B2106" s="72">
        <f t="shared" si="46"/>
        <v>0.27937499999999998</v>
      </c>
      <c r="C2106" s="157">
        <f t="shared" si="47"/>
        <v>1061.6300000000001</v>
      </c>
    </row>
    <row r="2107" spans="1:3" x14ac:dyDescent="0.25">
      <c r="A2107" s="15">
        <f t="shared" si="45"/>
        <v>45715</v>
      </c>
      <c r="B2107" s="72">
        <f t="shared" si="46"/>
        <v>0.27937499999999998</v>
      </c>
      <c r="C2107" s="157">
        <f t="shared" si="47"/>
        <v>1061.6300000000001</v>
      </c>
    </row>
    <row r="2108" spans="1:3" x14ac:dyDescent="0.25">
      <c r="A2108" s="15">
        <f t="shared" ref="A2108:A2171" si="48">+WORKDAY.INTL(A2107,1,1,)</f>
        <v>45716</v>
      </c>
      <c r="B2108" s="72">
        <f t="shared" si="46"/>
        <v>0.27937499999999998</v>
      </c>
      <c r="C2108" s="157">
        <f t="shared" si="47"/>
        <v>1061.6300000000001</v>
      </c>
    </row>
    <row r="2109" spans="1:3" x14ac:dyDescent="0.25">
      <c r="A2109" s="15">
        <f t="shared" si="48"/>
        <v>45719</v>
      </c>
      <c r="B2109" s="72">
        <f t="shared" si="46"/>
        <v>0.27937499999999998</v>
      </c>
      <c r="C2109" s="157">
        <f t="shared" si="47"/>
        <v>1061.6300000000001</v>
      </c>
    </row>
    <row r="2110" spans="1:3" x14ac:dyDescent="0.25">
      <c r="A2110" s="15">
        <f t="shared" si="48"/>
        <v>45720</v>
      </c>
      <c r="B2110" s="72">
        <f t="shared" si="46"/>
        <v>0.27937499999999998</v>
      </c>
      <c r="C2110" s="157">
        <f t="shared" si="47"/>
        <v>1061.6300000000001</v>
      </c>
    </row>
    <row r="2111" spans="1:3" x14ac:dyDescent="0.25">
      <c r="A2111" s="15">
        <f t="shared" si="48"/>
        <v>45721</v>
      </c>
      <c r="B2111" s="72">
        <f t="shared" si="46"/>
        <v>0.27937499999999998</v>
      </c>
      <c r="C2111" s="157">
        <f t="shared" si="47"/>
        <v>1061.6300000000001</v>
      </c>
    </row>
    <row r="2112" spans="1:3" x14ac:dyDescent="0.25">
      <c r="A2112" s="15">
        <f t="shared" si="48"/>
        <v>45722</v>
      </c>
      <c r="B2112" s="72">
        <f t="shared" si="46"/>
        <v>0.27937499999999998</v>
      </c>
      <c r="C2112" s="157">
        <f t="shared" si="47"/>
        <v>1061.6300000000001</v>
      </c>
    </row>
    <row r="2113" spans="1:3" x14ac:dyDescent="0.25">
      <c r="A2113" s="15">
        <f t="shared" si="48"/>
        <v>45723</v>
      </c>
      <c r="B2113" s="72">
        <f t="shared" si="46"/>
        <v>0.27937499999999998</v>
      </c>
      <c r="C2113" s="157">
        <f t="shared" si="47"/>
        <v>1061.6300000000001</v>
      </c>
    </row>
    <row r="2114" spans="1:3" x14ac:dyDescent="0.25">
      <c r="A2114" s="15">
        <f t="shared" si="48"/>
        <v>45726</v>
      </c>
      <c r="B2114" s="72">
        <f t="shared" si="46"/>
        <v>0.27937499999999998</v>
      </c>
      <c r="C2114" s="157">
        <f t="shared" si="47"/>
        <v>1061.6300000000001</v>
      </c>
    </row>
    <row r="2115" spans="1:3" x14ac:dyDescent="0.25">
      <c r="A2115" s="15">
        <f t="shared" si="48"/>
        <v>45727</v>
      </c>
      <c r="B2115" s="72">
        <f t="shared" si="46"/>
        <v>0.27937499999999998</v>
      </c>
      <c r="C2115" s="157">
        <f t="shared" si="47"/>
        <v>1061.6300000000001</v>
      </c>
    </row>
    <row r="2116" spans="1:3" x14ac:dyDescent="0.25">
      <c r="A2116" s="15">
        <f t="shared" si="48"/>
        <v>45728</v>
      </c>
      <c r="B2116" s="72">
        <f t="shared" si="46"/>
        <v>0.27937499999999998</v>
      </c>
      <c r="C2116" s="157">
        <f t="shared" si="47"/>
        <v>1061.6300000000001</v>
      </c>
    </row>
    <row r="2117" spans="1:3" x14ac:dyDescent="0.25">
      <c r="A2117" s="15">
        <f t="shared" si="48"/>
        <v>45729</v>
      </c>
      <c r="B2117" s="72">
        <f t="shared" si="46"/>
        <v>0.27937499999999998</v>
      </c>
      <c r="C2117" s="157">
        <f t="shared" si="47"/>
        <v>1061.6300000000001</v>
      </c>
    </row>
    <row r="2118" spans="1:3" x14ac:dyDescent="0.25">
      <c r="A2118" s="15">
        <f t="shared" si="48"/>
        <v>45730</v>
      </c>
      <c r="B2118" s="72">
        <f t="shared" si="46"/>
        <v>0.27937499999999998</v>
      </c>
      <c r="C2118" s="157">
        <f t="shared" si="47"/>
        <v>1061.6300000000001</v>
      </c>
    </row>
    <row r="2119" spans="1:3" x14ac:dyDescent="0.25">
      <c r="A2119" s="15">
        <f t="shared" si="48"/>
        <v>45733</v>
      </c>
      <c r="B2119" s="72">
        <f t="shared" si="46"/>
        <v>0.27937499999999998</v>
      </c>
      <c r="C2119" s="157">
        <f t="shared" si="47"/>
        <v>1061.6300000000001</v>
      </c>
    </row>
    <row r="2120" spans="1:3" x14ac:dyDescent="0.25">
      <c r="A2120" s="15">
        <f t="shared" si="48"/>
        <v>45734</v>
      </c>
      <c r="B2120" s="72">
        <f t="shared" si="46"/>
        <v>0.27937499999999998</v>
      </c>
      <c r="C2120" s="157">
        <f t="shared" si="47"/>
        <v>1061.6300000000001</v>
      </c>
    </row>
    <row r="2121" spans="1:3" x14ac:dyDescent="0.25">
      <c r="A2121" s="15">
        <f t="shared" si="48"/>
        <v>45735</v>
      </c>
      <c r="B2121" s="72">
        <f t="shared" si="46"/>
        <v>0.27937499999999998</v>
      </c>
      <c r="C2121" s="157">
        <f t="shared" si="47"/>
        <v>1061.6300000000001</v>
      </c>
    </row>
    <row r="2122" spans="1:3" x14ac:dyDescent="0.25">
      <c r="A2122" s="15">
        <f t="shared" si="48"/>
        <v>45736</v>
      </c>
      <c r="B2122" s="72">
        <f t="shared" si="46"/>
        <v>0.27937499999999998</v>
      </c>
      <c r="C2122" s="157">
        <f t="shared" si="47"/>
        <v>1061.6300000000001</v>
      </c>
    </row>
    <row r="2123" spans="1:3" x14ac:dyDescent="0.25">
      <c r="A2123" s="15">
        <f t="shared" si="48"/>
        <v>45737</v>
      </c>
      <c r="B2123" s="72">
        <f t="shared" ref="B2123:B2186" si="49">+B2122</f>
        <v>0.27937499999999998</v>
      </c>
      <c r="C2123" s="157">
        <f t="shared" si="47"/>
        <v>1061.6300000000001</v>
      </c>
    </row>
    <row r="2124" spans="1:3" x14ac:dyDescent="0.25">
      <c r="A2124" s="15">
        <f t="shared" si="48"/>
        <v>45740</v>
      </c>
      <c r="B2124" s="72">
        <f t="shared" si="49"/>
        <v>0.27937499999999998</v>
      </c>
      <c r="C2124" s="157">
        <f t="shared" ref="C2124:C2187" si="50">+C2123</f>
        <v>1061.6300000000001</v>
      </c>
    </row>
    <row r="2125" spans="1:3" x14ac:dyDescent="0.25">
      <c r="A2125" s="15">
        <f t="shared" si="48"/>
        <v>45741</v>
      </c>
      <c r="B2125" s="72">
        <f t="shared" si="49"/>
        <v>0.27937499999999998</v>
      </c>
      <c r="C2125" s="157">
        <f t="shared" si="50"/>
        <v>1061.6300000000001</v>
      </c>
    </row>
    <row r="2126" spans="1:3" x14ac:dyDescent="0.25">
      <c r="A2126" s="15">
        <f t="shared" si="48"/>
        <v>45742</v>
      </c>
      <c r="B2126" s="72">
        <f t="shared" si="49"/>
        <v>0.27937499999999998</v>
      </c>
      <c r="C2126" s="157">
        <f t="shared" si="50"/>
        <v>1061.6300000000001</v>
      </c>
    </row>
    <row r="2127" spans="1:3" x14ac:dyDescent="0.25">
      <c r="A2127" s="15">
        <f t="shared" si="48"/>
        <v>45743</v>
      </c>
      <c r="B2127" s="72">
        <f t="shared" si="49"/>
        <v>0.27937499999999998</v>
      </c>
      <c r="C2127" s="157">
        <f t="shared" si="50"/>
        <v>1061.6300000000001</v>
      </c>
    </row>
    <row r="2128" spans="1:3" x14ac:dyDescent="0.25">
      <c r="A2128" s="15">
        <f t="shared" si="48"/>
        <v>45744</v>
      </c>
      <c r="B2128" s="72">
        <f t="shared" si="49"/>
        <v>0.27937499999999998</v>
      </c>
      <c r="C2128" s="157">
        <f t="shared" si="50"/>
        <v>1061.6300000000001</v>
      </c>
    </row>
    <row r="2129" spans="1:3" x14ac:dyDescent="0.25">
      <c r="A2129" s="15">
        <f t="shared" si="48"/>
        <v>45747</v>
      </c>
      <c r="B2129" s="72">
        <f t="shared" si="49"/>
        <v>0.27937499999999998</v>
      </c>
      <c r="C2129" s="157">
        <f t="shared" si="50"/>
        <v>1061.6300000000001</v>
      </c>
    </row>
    <row r="2130" spans="1:3" x14ac:dyDescent="0.25">
      <c r="A2130" s="15">
        <f t="shared" si="48"/>
        <v>45748</v>
      </c>
      <c r="B2130" s="72">
        <f t="shared" si="49"/>
        <v>0.27937499999999998</v>
      </c>
      <c r="C2130" s="157">
        <f t="shared" si="50"/>
        <v>1061.6300000000001</v>
      </c>
    </row>
    <row r="2131" spans="1:3" x14ac:dyDescent="0.25">
      <c r="A2131" s="15">
        <f t="shared" si="48"/>
        <v>45749</v>
      </c>
      <c r="B2131" s="72">
        <f t="shared" si="49"/>
        <v>0.27937499999999998</v>
      </c>
      <c r="C2131" s="157">
        <f t="shared" si="50"/>
        <v>1061.6300000000001</v>
      </c>
    </row>
    <row r="2132" spans="1:3" x14ac:dyDescent="0.25">
      <c r="A2132" s="15">
        <f t="shared" si="48"/>
        <v>45750</v>
      </c>
      <c r="B2132" s="72">
        <f t="shared" si="49"/>
        <v>0.27937499999999998</v>
      </c>
      <c r="C2132" s="157">
        <f t="shared" si="50"/>
        <v>1061.6300000000001</v>
      </c>
    </row>
    <row r="2133" spans="1:3" x14ac:dyDescent="0.25">
      <c r="A2133" s="15">
        <f t="shared" si="48"/>
        <v>45751</v>
      </c>
      <c r="B2133" s="72">
        <f t="shared" si="49"/>
        <v>0.27937499999999998</v>
      </c>
      <c r="C2133" s="157">
        <f t="shared" si="50"/>
        <v>1061.6300000000001</v>
      </c>
    </row>
    <row r="2134" spans="1:3" x14ac:dyDescent="0.25">
      <c r="A2134" s="15">
        <f t="shared" si="48"/>
        <v>45754</v>
      </c>
      <c r="B2134" s="72">
        <v>0.31812499999999999</v>
      </c>
      <c r="C2134" s="157">
        <v>1077.1300000000001</v>
      </c>
    </row>
    <row r="2135" spans="1:3" x14ac:dyDescent="0.25">
      <c r="A2135" s="15">
        <f t="shared" si="48"/>
        <v>45755</v>
      </c>
      <c r="B2135" s="72">
        <f t="shared" si="49"/>
        <v>0.31812499999999999</v>
      </c>
      <c r="C2135" s="157">
        <f t="shared" si="50"/>
        <v>1077.1300000000001</v>
      </c>
    </row>
    <row r="2136" spans="1:3" x14ac:dyDescent="0.25">
      <c r="A2136" s="15">
        <f t="shared" si="48"/>
        <v>45756</v>
      </c>
      <c r="B2136" s="72">
        <f t="shared" si="49"/>
        <v>0.31812499999999999</v>
      </c>
      <c r="C2136" s="157">
        <f t="shared" si="50"/>
        <v>1077.1300000000001</v>
      </c>
    </row>
    <row r="2137" spans="1:3" x14ac:dyDescent="0.25">
      <c r="A2137" s="15">
        <f t="shared" si="48"/>
        <v>45757</v>
      </c>
      <c r="B2137" s="72">
        <f t="shared" si="49"/>
        <v>0.31812499999999999</v>
      </c>
      <c r="C2137" s="157">
        <f t="shared" si="50"/>
        <v>1077.1300000000001</v>
      </c>
    </row>
    <row r="2138" spans="1:3" x14ac:dyDescent="0.25">
      <c r="A2138" s="15">
        <f t="shared" si="48"/>
        <v>45758</v>
      </c>
      <c r="B2138" s="72">
        <f t="shared" si="49"/>
        <v>0.31812499999999999</v>
      </c>
      <c r="C2138" s="157">
        <f t="shared" si="50"/>
        <v>1077.1300000000001</v>
      </c>
    </row>
    <row r="2139" spans="1:3" x14ac:dyDescent="0.25">
      <c r="A2139" s="15">
        <f t="shared" si="48"/>
        <v>45761</v>
      </c>
      <c r="B2139" s="72">
        <f t="shared" si="49"/>
        <v>0.31812499999999999</v>
      </c>
      <c r="C2139" s="157">
        <f t="shared" si="50"/>
        <v>1077.1300000000001</v>
      </c>
    </row>
    <row r="2140" spans="1:3" x14ac:dyDescent="0.25">
      <c r="A2140" s="15">
        <f t="shared" si="48"/>
        <v>45762</v>
      </c>
      <c r="B2140" s="72">
        <f t="shared" si="49"/>
        <v>0.31812499999999999</v>
      </c>
      <c r="C2140" s="157">
        <f t="shared" si="50"/>
        <v>1077.1300000000001</v>
      </c>
    </row>
    <row r="2141" spans="1:3" x14ac:dyDescent="0.25">
      <c r="A2141" s="15">
        <f t="shared" si="48"/>
        <v>45763</v>
      </c>
      <c r="B2141" s="72">
        <f t="shared" si="49"/>
        <v>0.31812499999999999</v>
      </c>
      <c r="C2141" s="157">
        <f t="shared" si="50"/>
        <v>1077.1300000000001</v>
      </c>
    </row>
    <row r="2142" spans="1:3" x14ac:dyDescent="0.25">
      <c r="A2142" s="15">
        <f t="shared" si="48"/>
        <v>45764</v>
      </c>
      <c r="B2142" s="72">
        <f t="shared" si="49"/>
        <v>0.31812499999999999</v>
      </c>
      <c r="C2142" s="157">
        <f t="shared" si="50"/>
        <v>1077.1300000000001</v>
      </c>
    </row>
    <row r="2143" spans="1:3" x14ac:dyDescent="0.25">
      <c r="A2143" s="15">
        <f t="shared" si="48"/>
        <v>45765</v>
      </c>
      <c r="B2143" s="72">
        <f t="shared" si="49"/>
        <v>0.31812499999999999</v>
      </c>
      <c r="C2143" s="157">
        <f t="shared" si="50"/>
        <v>1077.1300000000001</v>
      </c>
    </row>
    <row r="2144" spans="1:3" ht="15.75" x14ac:dyDescent="0.25">
      <c r="A2144" s="15">
        <f t="shared" si="48"/>
        <v>45768</v>
      </c>
      <c r="B2144" s="530">
        <v>0.34499999999999997</v>
      </c>
      <c r="C2144" s="532">
        <v>1122.5</v>
      </c>
    </row>
    <row r="2145" spans="1:3" x14ac:dyDescent="0.25">
      <c r="A2145" s="15">
        <f t="shared" si="48"/>
        <v>45769</v>
      </c>
      <c r="B2145" s="72">
        <f>+B2144</f>
        <v>0.34499999999999997</v>
      </c>
      <c r="C2145" s="157">
        <f t="shared" si="50"/>
        <v>1122.5</v>
      </c>
    </row>
    <row r="2146" spans="1:3" x14ac:dyDescent="0.25">
      <c r="A2146" s="15">
        <f t="shared" si="48"/>
        <v>45770</v>
      </c>
      <c r="B2146" s="72">
        <f t="shared" si="49"/>
        <v>0.34499999999999997</v>
      </c>
      <c r="C2146" s="157">
        <f t="shared" si="50"/>
        <v>1122.5</v>
      </c>
    </row>
    <row r="2147" spans="1:3" x14ac:dyDescent="0.25">
      <c r="A2147" s="15">
        <f t="shared" si="48"/>
        <v>45771</v>
      </c>
      <c r="B2147" s="72">
        <f t="shared" si="49"/>
        <v>0.34499999999999997</v>
      </c>
      <c r="C2147" s="157">
        <f t="shared" si="50"/>
        <v>1122.5</v>
      </c>
    </row>
    <row r="2148" spans="1:3" x14ac:dyDescent="0.25">
      <c r="A2148" s="15">
        <f t="shared" si="48"/>
        <v>45772</v>
      </c>
      <c r="B2148" s="72">
        <f t="shared" si="49"/>
        <v>0.34499999999999997</v>
      </c>
      <c r="C2148" s="157">
        <f t="shared" si="50"/>
        <v>1122.5</v>
      </c>
    </row>
    <row r="2149" spans="1:3" x14ac:dyDescent="0.25">
      <c r="A2149" s="15">
        <f t="shared" si="48"/>
        <v>45775</v>
      </c>
      <c r="B2149" s="72">
        <f t="shared" si="49"/>
        <v>0.34499999999999997</v>
      </c>
      <c r="C2149" s="157">
        <f t="shared" si="50"/>
        <v>1122.5</v>
      </c>
    </row>
    <row r="2150" spans="1:3" x14ac:dyDescent="0.25">
      <c r="A2150" s="15">
        <f t="shared" si="48"/>
        <v>45776</v>
      </c>
      <c r="B2150" s="72">
        <f t="shared" si="49"/>
        <v>0.34499999999999997</v>
      </c>
      <c r="C2150" s="157">
        <f t="shared" si="50"/>
        <v>1122.5</v>
      </c>
    </row>
    <row r="2151" spans="1:3" x14ac:dyDescent="0.25">
      <c r="A2151" s="15">
        <f t="shared" si="48"/>
        <v>45777</v>
      </c>
      <c r="B2151" s="72">
        <f t="shared" si="49"/>
        <v>0.34499999999999997</v>
      </c>
      <c r="C2151" s="157">
        <f t="shared" si="50"/>
        <v>1122.5</v>
      </c>
    </row>
    <row r="2152" spans="1:3" x14ac:dyDescent="0.25">
      <c r="A2152" s="15">
        <f t="shared" si="48"/>
        <v>45778</v>
      </c>
      <c r="B2152" s="72">
        <f t="shared" si="49"/>
        <v>0.34499999999999997</v>
      </c>
      <c r="C2152" s="157">
        <f t="shared" si="50"/>
        <v>1122.5</v>
      </c>
    </row>
    <row r="2153" spans="1:3" x14ac:dyDescent="0.25">
      <c r="A2153" s="15">
        <f t="shared" si="48"/>
        <v>45779</v>
      </c>
      <c r="B2153" s="72">
        <f t="shared" si="49"/>
        <v>0.34499999999999997</v>
      </c>
      <c r="C2153" s="157">
        <f t="shared" si="50"/>
        <v>1122.5</v>
      </c>
    </row>
    <row r="2154" spans="1:3" x14ac:dyDescent="0.25">
      <c r="A2154" s="15">
        <f t="shared" si="48"/>
        <v>45782</v>
      </c>
      <c r="B2154" s="72">
        <f t="shared" si="49"/>
        <v>0.34499999999999997</v>
      </c>
      <c r="C2154" s="157">
        <f t="shared" si="50"/>
        <v>1122.5</v>
      </c>
    </row>
    <row r="2155" spans="1:3" x14ac:dyDescent="0.25">
      <c r="A2155" s="15">
        <f t="shared" si="48"/>
        <v>45783</v>
      </c>
      <c r="B2155" s="72">
        <f t="shared" si="49"/>
        <v>0.34499999999999997</v>
      </c>
      <c r="C2155" s="157">
        <f t="shared" si="50"/>
        <v>1122.5</v>
      </c>
    </row>
    <row r="2156" spans="1:3" x14ac:dyDescent="0.25">
      <c r="A2156" s="15">
        <f t="shared" si="48"/>
        <v>45784</v>
      </c>
      <c r="B2156" s="72">
        <f t="shared" si="49"/>
        <v>0.34499999999999997</v>
      </c>
      <c r="C2156" s="157">
        <f t="shared" si="50"/>
        <v>1122.5</v>
      </c>
    </row>
    <row r="2157" spans="1:3" x14ac:dyDescent="0.25">
      <c r="A2157" s="15">
        <f t="shared" si="48"/>
        <v>45785</v>
      </c>
      <c r="B2157" s="72">
        <f t="shared" si="49"/>
        <v>0.34499999999999997</v>
      </c>
      <c r="C2157" s="157">
        <f t="shared" si="50"/>
        <v>1122.5</v>
      </c>
    </row>
    <row r="2158" spans="1:3" x14ac:dyDescent="0.25">
      <c r="A2158" s="15">
        <f t="shared" si="48"/>
        <v>45786</v>
      </c>
      <c r="B2158" s="72">
        <f t="shared" si="49"/>
        <v>0.34499999999999997</v>
      </c>
      <c r="C2158" s="157">
        <f t="shared" si="50"/>
        <v>1122.5</v>
      </c>
    </row>
    <row r="2159" spans="1:3" ht="15.75" x14ac:dyDescent="0.25">
      <c r="A2159" s="15">
        <f t="shared" si="48"/>
        <v>45789</v>
      </c>
      <c r="B2159" s="530">
        <v>0.32437500000000002</v>
      </c>
      <c r="C2159" s="157">
        <v>1126</v>
      </c>
    </row>
    <row r="2160" spans="1:3" x14ac:dyDescent="0.25">
      <c r="A2160" s="15">
        <f t="shared" si="48"/>
        <v>45790</v>
      </c>
      <c r="B2160" s="72">
        <f t="shared" si="49"/>
        <v>0.32437500000000002</v>
      </c>
      <c r="C2160" s="157">
        <f t="shared" si="50"/>
        <v>1126</v>
      </c>
    </row>
    <row r="2161" spans="1:3" x14ac:dyDescent="0.25">
      <c r="A2161" s="15">
        <f t="shared" si="48"/>
        <v>45791</v>
      </c>
      <c r="B2161" s="72">
        <f t="shared" si="49"/>
        <v>0.32437500000000002</v>
      </c>
      <c r="C2161" s="157">
        <f t="shared" si="50"/>
        <v>1126</v>
      </c>
    </row>
    <row r="2162" spans="1:3" x14ac:dyDescent="0.25">
      <c r="A2162" s="15">
        <f t="shared" si="48"/>
        <v>45792</v>
      </c>
      <c r="B2162" s="72">
        <f t="shared" si="49"/>
        <v>0.32437500000000002</v>
      </c>
      <c r="C2162" s="157">
        <f t="shared" si="50"/>
        <v>1126</v>
      </c>
    </row>
    <row r="2163" spans="1:3" x14ac:dyDescent="0.25">
      <c r="A2163" s="15">
        <f t="shared" si="48"/>
        <v>45793</v>
      </c>
      <c r="B2163" s="72">
        <f t="shared" si="49"/>
        <v>0.32437500000000002</v>
      </c>
      <c r="C2163" s="157">
        <f t="shared" si="50"/>
        <v>1126</v>
      </c>
    </row>
    <row r="2164" spans="1:3" x14ac:dyDescent="0.25">
      <c r="A2164" s="15">
        <f t="shared" si="48"/>
        <v>45796</v>
      </c>
      <c r="B2164" s="72">
        <f t="shared" si="49"/>
        <v>0.32437500000000002</v>
      </c>
      <c r="C2164" s="157">
        <f t="shared" si="50"/>
        <v>1126</v>
      </c>
    </row>
    <row r="2165" spans="1:3" x14ac:dyDescent="0.25">
      <c r="A2165" s="15">
        <f t="shared" si="48"/>
        <v>45797</v>
      </c>
      <c r="B2165" s="72">
        <f t="shared" si="49"/>
        <v>0.32437500000000002</v>
      </c>
      <c r="C2165" s="157">
        <f t="shared" si="50"/>
        <v>1126</v>
      </c>
    </row>
    <row r="2166" spans="1:3" x14ac:dyDescent="0.25">
      <c r="A2166" s="15">
        <f t="shared" si="48"/>
        <v>45798</v>
      </c>
      <c r="B2166" s="72">
        <f t="shared" si="49"/>
        <v>0.32437500000000002</v>
      </c>
      <c r="C2166" s="157">
        <f t="shared" si="50"/>
        <v>1126</v>
      </c>
    </row>
    <row r="2167" spans="1:3" x14ac:dyDescent="0.25">
      <c r="A2167" s="15">
        <f t="shared" si="48"/>
        <v>45799</v>
      </c>
      <c r="B2167" s="72">
        <f t="shared" si="49"/>
        <v>0.32437500000000002</v>
      </c>
      <c r="C2167" s="157">
        <f t="shared" si="50"/>
        <v>1126</v>
      </c>
    </row>
    <row r="2168" spans="1:3" x14ac:dyDescent="0.25">
      <c r="A2168" s="15">
        <f t="shared" si="48"/>
        <v>45800</v>
      </c>
      <c r="B2168" s="72">
        <f t="shared" si="49"/>
        <v>0.32437500000000002</v>
      </c>
      <c r="C2168" s="157">
        <f t="shared" si="50"/>
        <v>1126</v>
      </c>
    </row>
    <row r="2169" spans="1:3" x14ac:dyDescent="0.25">
      <c r="A2169" s="15">
        <f t="shared" si="48"/>
        <v>45803</v>
      </c>
      <c r="B2169" s="72">
        <f t="shared" si="49"/>
        <v>0.32437500000000002</v>
      </c>
      <c r="C2169" s="157">
        <f t="shared" si="50"/>
        <v>1126</v>
      </c>
    </row>
    <row r="2170" spans="1:3" x14ac:dyDescent="0.25">
      <c r="A2170" s="15">
        <f t="shared" si="48"/>
        <v>45804</v>
      </c>
      <c r="B2170" s="72">
        <f t="shared" si="49"/>
        <v>0.32437500000000002</v>
      </c>
      <c r="C2170" s="157">
        <f t="shared" si="50"/>
        <v>1126</v>
      </c>
    </row>
    <row r="2171" spans="1:3" x14ac:dyDescent="0.25">
      <c r="A2171" s="15">
        <f t="shared" si="48"/>
        <v>45805</v>
      </c>
      <c r="B2171" s="72">
        <f t="shared" si="49"/>
        <v>0.32437500000000002</v>
      </c>
      <c r="C2171" s="157">
        <f t="shared" si="50"/>
        <v>1126</v>
      </c>
    </row>
    <row r="2172" spans="1:3" x14ac:dyDescent="0.25">
      <c r="A2172" s="15">
        <f t="shared" ref="A2172:A2235" si="51">+WORKDAY.INTL(A2171,1,1,)</f>
        <v>45806</v>
      </c>
      <c r="B2172" s="72">
        <f t="shared" si="49"/>
        <v>0.32437500000000002</v>
      </c>
      <c r="C2172" s="157">
        <f t="shared" si="50"/>
        <v>1126</v>
      </c>
    </row>
    <row r="2173" spans="1:3" x14ac:dyDescent="0.25">
      <c r="A2173" s="15">
        <f t="shared" si="51"/>
        <v>45807</v>
      </c>
      <c r="B2173" s="72">
        <f t="shared" si="49"/>
        <v>0.32437500000000002</v>
      </c>
      <c r="C2173" s="157">
        <f t="shared" si="50"/>
        <v>1126</v>
      </c>
    </row>
    <row r="2174" spans="1:3" x14ac:dyDescent="0.25">
      <c r="A2174" s="15">
        <f t="shared" si="51"/>
        <v>45810</v>
      </c>
      <c r="B2174" s="72">
        <f t="shared" si="49"/>
        <v>0.32437500000000002</v>
      </c>
      <c r="C2174" s="157">
        <f t="shared" si="50"/>
        <v>1126</v>
      </c>
    </row>
    <row r="2175" spans="1:3" x14ac:dyDescent="0.25">
      <c r="A2175" s="15">
        <f t="shared" si="51"/>
        <v>45811</v>
      </c>
      <c r="B2175" s="72">
        <f t="shared" si="49"/>
        <v>0.32437500000000002</v>
      </c>
      <c r="C2175" s="157">
        <f t="shared" si="50"/>
        <v>1126</v>
      </c>
    </row>
    <row r="2176" spans="1:3" x14ac:dyDescent="0.25">
      <c r="A2176" s="15">
        <f t="shared" si="51"/>
        <v>45812</v>
      </c>
      <c r="B2176" s="72">
        <f t="shared" si="49"/>
        <v>0.32437500000000002</v>
      </c>
      <c r="C2176" s="157">
        <f t="shared" si="50"/>
        <v>1126</v>
      </c>
    </row>
    <row r="2177" spans="1:3" x14ac:dyDescent="0.25">
      <c r="A2177" s="15">
        <f t="shared" si="51"/>
        <v>45813</v>
      </c>
      <c r="B2177" s="72">
        <f t="shared" si="49"/>
        <v>0.32437500000000002</v>
      </c>
      <c r="C2177" s="157">
        <f t="shared" si="50"/>
        <v>1126</v>
      </c>
    </row>
    <row r="2178" spans="1:3" x14ac:dyDescent="0.25">
      <c r="A2178" s="15">
        <f t="shared" si="51"/>
        <v>45814</v>
      </c>
      <c r="B2178" s="72">
        <f t="shared" si="49"/>
        <v>0.32437500000000002</v>
      </c>
      <c r="C2178" s="157">
        <f t="shared" si="50"/>
        <v>1126</v>
      </c>
    </row>
    <row r="2179" spans="1:3" x14ac:dyDescent="0.25">
      <c r="A2179" s="15">
        <f t="shared" si="51"/>
        <v>45817</v>
      </c>
      <c r="B2179" s="72">
        <f t="shared" si="49"/>
        <v>0.32437500000000002</v>
      </c>
      <c r="C2179" s="157">
        <f t="shared" si="50"/>
        <v>1126</v>
      </c>
    </row>
    <row r="2180" spans="1:3" x14ac:dyDescent="0.25">
      <c r="A2180" s="15">
        <f t="shared" si="51"/>
        <v>45818</v>
      </c>
      <c r="B2180" s="72">
        <f t="shared" si="49"/>
        <v>0.32437500000000002</v>
      </c>
      <c r="C2180" s="157">
        <f t="shared" si="50"/>
        <v>1126</v>
      </c>
    </row>
    <row r="2181" spans="1:3" x14ac:dyDescent="0.25">
      <c r="A2181" s="15">
        <f t="shared" si="51"/>
        <v>45819</v>
      </c>
      <c r="B2181" s="72">
        <f t="shared" si="49"/>
        <v>0.32437500000000002</v>
      </c>
      <c r="C2181" s="157">
        <f t="shared" si="50"/>
        <v>1126</v>
      </c>
    </row>
    <row r="2182" spans="1:3" x14ac:dyDescent="0.25">
      <c r="A2182" s="15">
        <f t="shared" si="51"/>
        <v>45820</v>
      </c>
      <c r="B2182" s="72">
        <f t="shared" si="49"/>
        <v>0.32437500000000002</v>
      </c>
      <c r="C2182" s="157">
        <f t="shared" si="50"/>
        <v>1126</v>
      </c>
    </row>
    <row r="2183" spans="1:3" x14ac:dyDescent="0.25">
      <c r="A2183" s="15">
        <f t="shared" si="51"/>
        <v>45821</v>
      </c>
      <c r="B2183" s="72">
        <f t="shared" si="49"/>
        <v>0.32437500000000002</v>
      </c>
      <c r="C2183" s="157">
        <f t="shared" si="50"/>
        <v>1126</v>
      </c>
    </row>
    <row r="2184" spans="1:3" x14ac:dyDescent="0.25">
      <c r="A2184" s="15">
        <f t="shared" si="51"/>
        <v>45824</v>
      </c>
      <c r="B2184" s="72">
        <f t="shared" si="49"/>
        <v>0.32437500000000002</v>
      </c>
      <c r="C2184" s="157">
        <f t="shared" si="50"/>
        <v>1126</v>
      </c>
    </row>
    <row r="2185" spans="1:3" x14ac:dyDescent="0.25">
      <c r="A2185" s="15">
        <f t="shared" si="51"/>
        <v>45825</v>
      </c>
      <c r="B2185" s="72">
        <f t="shared" si="49"/>
        <v>0.32437500000000002</v>
      </c>
      <c r="C2185" s="157">
        <f t="shared" si="50"/>
        <v>1126</v>
      </c>
    </row>
    <row r="2186" spans="1:3" x14ac:dyDescent="0.25">
      <c r="A2186" s="15">
        <f t="shared" si="51"/>
        <v>45826</v>
      </c>
      <c r="B2186" s="72">
        <f t="shared" si="49"/>
        <v>0.32437500000000002</v>
      </c>
      <c r="C2186" s="157">
        <f t="shared" si="50"/>
        <v>1126</v>
      </c>
    </row>
    <row r="2187" spans="1:3" x14ac:dyDescent="0.25">
      <c r="A2187" s="15">
        <f t="shared" si="51"/>
        <v>45827</v>
      </c>
      <c r="B2187" s="72">
        <f t="shared" ref="B2187:B2250" si="52">+B2186</f>
        <v>0.32437500000000002</v>
      </c>
      <c r="C2187" s="157">
        <f t="shared" si="50"/>
        <v>1126</v>
      </c>
    </row>
    <row r="2188" spans="1:3" x14ac:dyDescent="0.25">
      <c r="A2188" s="15">
        <f t="shared" si="51"/>
        <v>45828</v>
      </c>
      <c r="B2188" s="72">
        <f t="shared" si="52"/>
        <v>0.32437500000000002</v>
      </c>
      <c r="C2188" s="157">
        <f t="shared" ref="C2188:C2251" si="53">+C2187</f>
        <v>1126</v>
      </c>
    </row>
    <row r="2189" spans="1:3" ht="15.75" x14ac:dyDescent="0.25">
      <c r="A2189" s="15">
        <f t="shared" si="51"/>
        <v>45831</v>
      </c>
      <c r="B2189" s="530">
        <v>0.31937500000000002</v>
      </c>
      <c r="C2189" s="532">
        <v>1156.17</v>
      </c>
    </row>
    <row r="2190" spans="1:3" x14ac:dyDescent="0.25">
      <c r="A2190" s="15">
        <f t="shared" si="51"/>
        <v>45832</v>
      </c>
      <c r="B2190" s="72">
        <f t="shared" si="52"/>
        <v>0.31937500000000002</v>
      </c>
      <c r="C2190" s="157">
        <f t="shared" si="53"/>
        <v>1156.17</v>
      </c>
    </row>
    <row r="2191" spans="1:3" x14ac:dyDescent="0.25">
      <c r="A2191" s="15">
        <f t="shared" si="51"/>
        <v>45833</v>
      </c>
      <c r="B2191" s="72">
        <f t="shared" si="52"/>
        <v>0.31937500000000002</v>
      </c>
      <c r="C2191" s="157">
        <f t="shared" si="53"/>
        <v>1156.17</v>
      </c>
    </row>
    <row r="2192" spans="1:3" x14ac:dyDescent="0.25">
      <c r="A2192" s="15">
        <f t="shared" si="51"/>
        <v>45834</v>
      </c>
      <c r="B2192" s="72">
        <f t="shared" si="52"/>
        <v>0.31937500000000002</v>
      </c>
      <c r="C2192" s="157">
        <f t="shared" si="53"/>
        <v>1156.17</v>
      </c>
    </row>
    <row r="2193" spans="1:3" x14ac:dyDescent="0.25">
      <c r="A2193" s="15">
        <f t="shared" si="51"/>
        <v>45835</v>
      </c>
      <c r="B2193" s="72">
        <f t="shared" si="52"/>
        <v>0.31937500000000002</v>
      </c>
      <c r="C2193" s="157">
        <f t="shared" si="53"/>
        <v>1156.17</v>
      </c>
    </row>
    <row r="2194" spans="1:3" x14ac:dyDescent="0.25">
      <c r="A2194" s="15">
        <f t="shared" si="51"/>
        <v>45838</v>
      </c>
      <c r="B2194" s="72">
        <f t="shared" si="52"/>
        <v>0.31937500000000002</v>
      </c>
      <c r="C2194" s="157">
        <f t="shared" si="53"/>
        <v>1156.17</v>
      </c>
    </row>
    <row r="2195" spans="1:3" x14ac:dyDescent="0.25">
      <c r="A2195" s="15">
        <f t="shared" si="51"/>
        <v>45839</v>
      </c>
      <c r="B2195" s="72">
        <f t="shared" si="52"/>
        <v>0.31937500000000002</v>
      </c>
      <c r="C2195" s="157">
        <f t="shared" si="53"/>
        <v>1156.17</v>
      </c>
    </row>
    <row r="2196" spans="1:3" x14ac:dyDescent="0.25">
      <c r="A2196" s="15">
        <f t="shared" si="51"/>
        <v>45840</v>
      </c>
      <c r="B2196" s="72">
        <f t="shared" si="52"/>
        <v>0.31937500000000002</v>
      </c>
      <c r="C2196" s="157">
        <f t="shared" si="53"/>
        <v>1156.17</v>
      </c>
    </row>
    <row r="2197" spans="1:3" x14ac:dyDescent="0.25">
      <c r="A2197" s="15">
        <f t="shared" si="51"/>
        <v>45841</v>
      </c>
      <c r="B2197" s="72">
        <f t="shared" si="52"/>
        <v>0.31937500000000002</v>
      </c>
      <c r="C2197" s="157">
        <f t="shared" si="53"/>
        <v>1156.17</v>
      </c>
    </row>
    <row r="2198" spans="1:3" x14ac:dyDescent="0.25">
      <c r="A2198" s="15">
        <f t="shared" si="51"/>
        <v>45842</v>
      </c>
      <c r="B2198" s="72">
        <f t="shared" si="52"/>
        <v>0.31937500000000002</v>
      </c>
      <c r="C2198" s="157">
        <f t="shared" si="53"/>
        <v>1156.17</v>
      </c>
    </row>
    <row r="2199" spans="1:3" x14ac:dyDescent="0.25">
      <c r="A2199" s="15">
        <f t="shared" si="51"/>
        <v>45845</v>
      </c>
      <c r="B2199" s="72">
        <f t="shared" si="52"/>
        <v>0.31937500000000002</v>
      </c>
      <c r="C2199" s="157">
        <f t="shared" si="53"/>
        <v>1156.17</v>
      </c>
    </row>
    <row r="2200" spans="1:3" x14ac:dyDescent="0.25">
      <c r="A2200" s="15">
        <f t="shared" si="51"/>
        <v>45846</v>
      </c>
      <c r="B2200" s="72">
        <f t="shared" si="52"/>
        <v>0.31937500000000002</v>
      </c>
      <c r="C2200" s="157">
        <f t="shared" si="53"/>
        <v>1156.17</v>
      </c>
    </row>
    <row r="2201" spans="1:3" x14ac:dyDescent="0.25">
      <c r="A2201" s="15">
        <f t="shared" si="51"/>
        <v>45847</v>
      </c>
      <c r="B2201" s="72">
        <f t="shared" si="52"/>
        <v>0.31937500000000002</v>
      </c>
      <c r="C2201" s="157">
        <f t="shared" si="53"/>
        <v>1156.17</v>
      </c>
    </row>
    <row r="2202" spans="1:3" x14ac:dyDescent="0.25">
      <c r="A2202" s="15">
        <f t="shared" si="51"/>
        <v>45848</v>
      </c>
      <c r="B2202" s="72">
        <f t="shared" si="52"/>
        <v>0.31937500000000002</v>
      </c>
      <c r="C2202" s="157">
        <f t="shared" si="53"/>
        <v>1156.17</v>
      </c>
    </row>
    <row r="2203" spans="1:3" x14ac:dyDescent="0.25">
      <c r="A2203" s="15">
        <f t="shared" si="51"/>
        <v>45849</v>
      </c>
      <c r="B2203" s="72">
        <f t="shared" si="52"/>
        <v>0.31937500000000002</v>
      </c>
      <c r="C2203" s="157">
        <f t="shared" si="53"/>
        <v>1156.17</v>
      </c>
    </row>
    <row r="2204" spans="1:3" x14ac:dyDescent="0.25">
      <c r="A2204" s="15">
        <f t="shared" si="51"/>
        <v>45852</v>
      </c>
      <c r="B2204" s="72">
        <f t="shared" si="52"/>
        <v>0.31937500000000002</v>
      </c>
      <c r="C2204" s="157">
        <f t="shared" si="53"/>
        <v>1156.17</v>
      </c>
    </row>
    <row r="2205" spans="1:3" x14ac:dyDescent="0.25">
      <c r="A2205" s="15">
        <f t="shared" si="51"/>
        <v>45853</v>
      </c>
      <c r="B2205" s="72">
        <f t="shared" si="52"/>
        <v>0.31937500000000002</v>
      </c>
      <c r="C2205" s="157">
        <f t="shared" si="53"/>
        <v>1156.17</v>
      </c>
    </row>
    <row r="2206" spans="1:3" x14ac:dyDescent="0.25">
      <c r="A2206" s="15">
        <f t="shared" si="51"/>
        <v>45854</v>
      </c>
      <c r="B2206" s="72">
        <f t="shared" si="52"/>
        <v>0.31937500000000002</v>
      </c>
      <c r="C2206" s="157">
        <f t="shared" si="53"/>
        <v>1156.17</v>
      </c>
    </row>
    <row r="2207" spans="1:3" x14ac:dyDescent="0.25">
      <c r="A2207" s="15">
        <f t="shared" si="51"/>
        <v>45855</v>
      </c>
      <c r="B2207" s="72">
        <f t="shared" si="52"/>
        <v>0.31937500000000002</v>
      </c>
      <c r="C2207" s="157">
        <f t="shared" si="53"/>
        <v>1156.17</v>
      </c>
    </row>
    <row r="2208" spans="1:3" x14ac:dyDescent="0.25">
      <c r="A2208" s="15">
        <f t="shared" si="51"/>
        <v>45856</v>
      </c>
      <c r="B2208" s="72">
        <f t="shared" si="52"/>
        <v>0.31937500000000002</v>
      </c>
      <c r="C2208" s="157">
        <f t="shared" si="53"/>
        <v>1156.17</v>
      </c>
    </row>
    <row r="2209" spans="1:5" x14ac:dyDescent="0.25">
      <c r="A2209" s="15">
        <f t="shared" si="51"/>
        <v>45859</v>
      </c>
      <c r="B2209" s="72">
        <f t="shared" si="52"/>
        <v>0.31937500000000002</v>
      </c>
      <c r="C2209" s="157">
        <f t="shared" si="53"/>
        <v>1156.17</v>
      </c>
    </row>
    <row r="2210" spans="1:5" x14ac:dyDescent="0.25">
      <c r="A2210" s="15">
        <f t="shared" si="51"/>
        <v>45860</v>
      </c>
      <c r="B2210" s="72">
        <f t="shared" si="52"/>
        <v>0.31937500000000002</v>
      </c>
      <c r="C2210" s="157">
        <f t="shared" si="53"/>
        <v>1156.17</v>
      </c>
    </row>
    <row r="2211" spans="1:5" x14ac:dyDescent="0.25">
      <c r="A2211" s="15">
        <f t="shared" si="51"/>
        <v>45861</v>
      </c>
      <c r="B2211" s="72">
        <v>0.32187500000000002</v>
      </c>
      <c r="C2211" s="157">
        <v>1266.17</v>
      </c>
      <c r="E2211" s="14" t="s">
        <v>24</v>
      </c>
    </row>
    <row r="2212" spans="1:5" x14ac:dyDescent="0.25">
      <c r="A2212" s="15">
        <f t="shared" si="51"/>
        <v>45862</v>
      </c>
      <c r="B2212" s="72">
        <f t="shared" si="52"/>
        <v>0.32187500000000002</v>
      </c>
      <c r="C2212" s="157">
        <f t="shared" si="53"/>
        <v>1266.17</v>
      </c>
    </row>
    <row r="2213" spans="1:5" x14ac:dyDescent="0.25">
      <c r="A2213" s="15">
        <f t="shared" si="51"/>
        <v>45863</v>
      </c>
      <c r="B2213" s="72">
        <f t="shared" si="52"/>
        <v>0.32187500000000002</v>
      </c>
      <c r="C2213" s="157">
        <f t="shared" si="53"/>
        <v>1266.17</v>
      </c>
    </row>
    <row r="2214" spans="1:5" x14ac:dyDescent="0.25">
      <c r="A2214" s="15">
        <f t="shared" si="51"/>
        <v>45866</v>
      </c>
      <c r="B2214" s="72">
        <f t="shared" si="52"/>
        <v>0.32187500000000002</v>
      </c>
      <c r="C2214" s="157">
        <f t="shared" si="53"/>
        <v>1266.17</v>
      </c>
    </row>
    <row r="2215" spans="1:5" x14ac:dyDescent="0.25">
      <c r="A2215" s="15">
        <f t="shared" si="51"/>
        <v>45867</v>
      </c>
      <c r="B2215" s="72">
        <f t="shared" si="52"/>
        <v>0.32187500000000002</v>
      </c>
      <c r="C2215" s="157">
        <f t="shared" si="53"/>
        <v>1266.17</v>
      </c>
    </row>
    <row r="2216" spans="1:5" x14ac:dyDescent="0.25">
      <c r="A2216" s="15">
        <f t="shared" si="51"/>
        <v>45868</v>
      </c>
      <c r="B2216" s="72">
        <f t="shared" si="52"/>
        <v>0.32187500000000002</v>
      </c>
      <c r="C2216" s="157">
        <f t="shared" si="53"/>
        <v>1266.17</v>
      </c>
    </row>
    <row r="2217" spans="1:5" x14ac:dyDescent="0.25">
      <c r="A2217" s="15">
        <f t="shared" si="51"/>
        <v>45869</v>
      </c>
      <c r="B2217" s="72">
        <f t="shared" si="52"/>
        <v>0.32187500000000002</v>
      </c>
      <c r="C2217" s="157">
        <f t="shared" si="53"/>
        <v>1266.17</v>
      </c>
    </row>
    <row r="2218" spans="1:5" x14ac:dyDescent="0.25">
      <c r="A2218" s="15">
        <f t="shared" si="51"/>
        <v>45870</v>
      </c>
      <c r="B2218" s="72">
        <f t="shared" si="52"/>
        <v>0.32187500000000002</v>
      </c>
      <c r="C2218" s="157">
        <f t="shared" si="53"/>
        <v>1266.17</v>
      </c>
    </row>
    <row r="2219" spans="1:5" x14ac:dyDescent="0.25">
      <c r="A2219" s="15">
        <f t="shared" si="51"/>
        <v>45873</v>
      </c>
      <c r="B2219" s="72">
        <f t="shared" si="52"/>
        <v>0.32187500000000002</v>
      </c>
      <c r="C2219" s="157">
        <f t="shared" si="53"/>
        <v>1266.17</v>
      </c>
    </row>
    <row r="2220" spans="1:5" x14ac:dyDescent="0.25">
      <c r="A2220" s="15">
        <f t="shared" si="51"/>
        <v>45874</v>
      </c>
      <c r="B2220" s="72">
        <f t="shared" si="52"/>
        <v>0.32187500000000002</v>
      </c>
      <c r="C2220" s="157">
        <f t="shared" si="53"/>
        <v>1266.17</v>
      </c>
    </row>
    <row r="2221" spans="1:5" x14ac:dyDescent="0.25">
      <c r="A2221" s="15">
        <f t="shared" si="51"/>
        <v>45875</v>
      </c>
      <c r="B2221" s="72">
        <f t="shared" si="52"/>
        <v>0.32187500000000002</v>
      </c>
      <c r="C2221" s="157">
        <f t="shared" si="53"/>
        <v>1266.17</v>
      </c>
    </row>
    <row r="2222" spans="1:5" x14ac:dyDescent="0.25">
      <c r="A2222" s="15">
        <f t="shared" si="51"/>
        <v>45876</v>
      </c>
      <c r="B2222" s="72">
        <f t="shared" si="52"/>
        <v>0.32187500000000002</v>
      </c>
      <c r="C2222" s="157">
        <f t="shared" si="53"/>
        <v>1266.17</v>
      </c>
    </row>
    <row r="2223" spans="1:5" x14ac:dyDescent="0.25">
      <c r="A2223" s="15">
        <f t="shared" si="51"/>
        <v>45877</v>
      </c>
      <c r="B2223" s="72">
        <f t="shared" si="52"/>
        <v>0.32187500000000002</v>
      </c>
      <c r="C2223" s="157">
        <f t="shared" si="53"/>
        <v>1266.17</v>
      </c>
    </row>
    <row r="2224" spans="1:5" x14ac:dyDescent="0.25">
      <c r="A2224" s="15">
        <f t="shared" si="51"/>
        <v>45880</v>
      </c>
      <c r="B2224" s="72">
        <f t="shared" si="52"/>
        <v>0.32187500000000002</v>
      </c>
      <c r="C2224" s="157">
        <f t="shared" si="53"/>
        <v>1266.17</v>
      </c>
    </row>
    <row r="2225" spans="1:3" x14ac:dyDescent="0.25">
      <c r="A2225" s="15">
        <f t="shared" si="51"/>
        <v>45881</v>
      </c>
      <c r="B2225" s="72">
        <f t="shared" si="52"/>
        <v>0.32187500000000002</v>
      </c>
      <c r="C2225" s="157">
        <f t="shared" si="53"/>
        <v>1266.17</v>
      </c>
    </row>
    <row r="2226" spans="1:3" x14ac:dyDescent="0.25">
      <c r="A2226" s="15">
        <f t="shared" si="51"/>
        <v>45882</v>
      </c>
      <c r="B2226" s="72">
        <f t="shared" si="52"/>
        <v>0.32187500000000002</v>
      </c>
      <c r="C2226" s="157">
        <f t="shared" si="53"/>
        <v>1266.17</v>
      </c>
    </row>
    <row r="2227" spans="1:3" x14ac:dyDescent="0.25">
      <c r="A2227" s="15">
        <f t="shared" si="51"/>
        <v>45883</v>
      </c>
      <c r="B2227" s="72">
        <f t="shared" si="52"/>
        <v>0.32187500000000002</v>
      </c>
      <c r="C2227" s="157">
        <f t="shared" si="53"/>
        <v>1266.17</v>
      </c>
    </row>
    <row r="2228" spans="1:3" x14ac:dyDescent="0.25">
      <c r="A2228" s="15">
        <f t="shared" si="51"/>
        <v>45884</v>
      </c>
      <c r="B2228" s="72">
        <f t="shared" si="52"/>
        <v>0.32187500000000002</v>
      </c>
      <c r="C2228" s="157">
        <f t="shared" si="53"/>
        <v>1266.17</v>
      </c>
    </row>
    <row r="2229" spans="1:3" x14ac:dyDescent="0.25">
      <c r="A2229" s="15">
        <f t="shared" si="51"/>
        <v>45887</v>
      </c>
      <c r="B2229" s="72">
        <f t="shared" si="52"/>
        <v>0.32187500000000002</v>
      </c>
      <c r="C2229" s="157">
        <f t="shared" si="53"/>
        <v>1266.17</v>
      </c>
    </row>
    <row r="2230" spans="1:3" x14ac:dyDescent="0.25">
      <c r="A2230" s="15">
        <f t="shared" si="51"/>
        <v>45888</v>
      </c>
      <c r="B2230" s="72">
        <f t="shared" si="52"/>
        <v>0.32187500000000002</v>
      </c>
      <c r="C2230" s="157">
        <f t="shared" si="53"/>
        <v>1266.17</v>
      </c>
    </row>
    <row r="2231" spans="1:3" x14ac:dyDescent="0.25">
      <c r="A2231" s="15">
        <f t="shared" si="51"/>
        <v>45889</v>
      </c>
      <c r="B2231" s="72">
        <f t="shared" si="52"/>
        <v>0.32187500000000002</v>
      </c>
      <c r="C2231" s="157">
        <f t="shared" si="53"/>
        <v>1266.17</v>
      </c>
    </row>
    <row r="2232" spans="1:3" x14ac:dyDescent="0.25">
      <c r="A2232" s="15">
        <f t="shared" si="51"/>
        <v>45890</v>
      </c>
      <c r="B2232" s="72">
        <f t="shared" si="52"/>
        <v>0.32187500000000002</v>
      </c>
      <c r="C2232" s="157">
        <f t="shared" si="53"/>
        <v>1266.17</v>
      </c>
    </row>
    <row r="2233" spans="1:3" x14ac:dyDescent="0.25">
      <c r="A2233" s="15">
        <f t="shared" si="51"/>
        <v>45891</v>
      </c>
      <c r="B2233" s="72">
        <f t="shared" si="52"/>
        <v>0.32187500000000002</v>
      </c>
      <c r="C2233" s="157">
        <f t="shared" si="53"/>
        <v>1266.17</v>
      </c>
    </row>
    <row r="2234" spans="1:3" x14ac:dyDescent="0.25">
      <c r="A2234" s="15">
        <f t="shared" si="51"/>
        <v>45894</v>
      </c>
      <c r="B2234" s="72">
        <f t="shared" si="52"/>
        <v>0.32187500000000002</v>
      </c>
      <c r="C2234" s="157">
        <f t="shared" si="53"/>
        <v>1266.17</v>
      </c>
    </row>
    <row r="2235" spans="1:3" x14ac:dyDescent="0.25">
      <c r="A2235" s="15">
        <f t="shared" si="51"/>
        <v>45895</v>
      </c>
      <c r="B2235" s="72">
        <f t="shared" si="52"/>
        <v>0.32187500000000002</v>
      </c>
      <c r="C2235" s="157">
        <f t="shared" si="53"/>
        <v>1266.17</v>
      </c>
    </row>
    <row r="2236" spans="1:3" x14ac:dyDescent="0.25">
      <c r="A2236" s="15">
        <f t="shared" ref="A2236:A2299" si="54">+WORKDAY.INTL(A2235,1,1,)</f>
        <v>45896</v>
      </c>
      <c r="B2236" s="72">
        <f t="shared" si="52"/>
        <v>0.32187500000000002</v>
      </c>
      <c r="C2236" s="157">
        <f t="shared" si="53"/>
        <v>1266.17</v>
      </c>
    </row>
    <row r="2237" spans="1:3" x14ac:dyDescent="0.25">
      <c r="A2237" s="15">
        <f t="shared" si="54"/>
        <v>45897</v>
      </c>
      <c r="B2237" s="72">
        <f t="shared" si="52"/>
        <v>0.32187500000000002</v>
      </c>
      <c r="C2237" s="157">
        <f t="shared" si="53"/>
        <v>1266.17</v>
      </c>
    </row>
    <row r="2238" spans="1:3" x14ac:dyDescent="0.25">
      <c r="A2238" s="15">
        <f t="shared" si="54"/>
        <v>45898</v>
      </c>
      <c r="B2238" s="72">
        <f t="shared" si="52"/>
        <v>0.32187500000000002</v>
      </c>
      <c r="C2238" s="157">
        <f t="shared" si="53"/>
        <v>1266.17</v>
      </c>
    </row>
    <row r="2239" spans="1:3" x14ac:dyDescent="0.25">
      <c r="A2239" s="15">
        <f t="shared" si="54"/>
        <v>45901</v>
      </c>
      <c r="B2239" s="72">
        <f t="shared" si="52"/>
        <v>0.32187500000000002</v>
      </c>
      <c r="C2239" s="157">
        <f t="shared" si="53"/>
        <v>1266.17</v>
      </c>
    </row>
    <row r="2240" spans="1:3" x14ac:dyDescent="0.25">
      <c r="A2240" s="15">
        <f t="shared" si="54"/>
        <v>45902</v>
      </c>
      <c r="B2240" s="72">
        <f t="shared" si="52"/>
        <v>0.32187500000000002</v>
      </c>
      <c r="C2240" s="157">
        <f t="shared" si="53"/>
        <v>1266.17</v>
      </c>
    </row>
    <row r="2241" spans="1:3" x14ac:dyDescent="0.25">
      <c r="A2241" s="15">
        <f t="shared" si="54"/>
        <v>45903</v>
      </c>
      <c r="B2241" s="72">
        <f t="shared" si="52"/>
        <v>0.32187500000000002</v>
      </c>
      <c r="C2241" s="157">
        <f t="shared" si="53"/>
        <v>1266.17</v>
      </c>
    </row>
    <row r="2242" spans="1:3" x14ac:dyDescent="0.25">
      <c r="A2242" s="15">
        <f t="shared" si="54"/>
        <v>45904</v>
      </c>
      <c r="B2242" s="72">
        <f t="shared" si="52"/>
        <v>0.32187500000000002</v>
      </c>
      <c r="C2242" s="157">
        <f t="shared" si="53"/>
        <v>1266.17</v>
      </c>
    </row>
    <row r="2243" spans="1:3" x14ac:dyDescent="0.25">
      <c r="A2243" s="15">
        <f t="shared" si="54"/>
        <v>45905</v>
      </c>
      <c r="B2243" s="72">
        <f t="shared" si="52"/>
        <v>0.32187500000000002</v>
      </c>
      <c r="C2243" s="157">
        <f t="shared" si="53"/>
        <v>1266.17</v>
      </c>
    </row>
    <row r="2244" spans="1:3" x14ac:dyDescent="0.25">
      <c r="A2244" s="15">
        <f t="shared" si="54"/>
        <v>45908</v>
      </c>
      <c r="B2244" s="72">
        <f t="shared" si="52"/>
        <v>0.32187500000000002</v>
      </c>
      <c r="C2244" s="157">
        <f t="shared" si="53"/>
        <v>1266.17</v>
      </c>
    </row>
    <row r="2245" spans="1:3" x14ac:dyDescent="0.25">
      <c r="A2245" s="15">
        <f t="shared" si="54"/>
        <v>45909</v>
      </c>
      <c r="B2245" s="72">
        <f t="shared" si="52"/>
        <v>0.32187500000000002</v>
      </c>
      <c r="C2245" s="157">
        <f t="shared" si="53"/>
        <v>1266.17</v>
      </c>
    </row>
    <row r="2246" spans="1:3" x14ac:dyDescent="0.25">
      <c r="A2246" s="15">
        <f t="shared" si="54"/>
        <v>45910</v>
      </c>
      <c r="B2246" s="72">
        <f t="shared" si="52"/>
        <v>0.32187500000000002</v>
      </c>
      <c r="C2246" s="157">
        <f t="shared" si="53"/>
        <v>1266.17</v>
      </c>
    </row>
    <row r="2247" spans="1:3" x14ac:dyDescent="0.25">
      <c r="A2247" s="15">
        <f t="shared" si="54"/>
        <v>45911</v>
      </c>
      <c r="B2247" s="72">
        <f t="shared" si="52"/>
        <v>0.32187500000000002</v>
      </c>
      <c r="C2247" s="157">
        <f t="shared" si="53"/>
        <v>1266.17</v>
      </c>
    </row>
    <row r="2248" spans="1:3" x14ac:dyDescent="0.25">
      <c r="A2248" s="15">
        <f t="shared" si="54"/>
        <v>45912</v>
      </c>
      <c r="B2248" s="72">
        <f t="shared" si="52"/>
        <v>0.32187500000000002</v>
      </c>
      <c r="C2248" s="157">
        <f t="shared" si="53"/>
        <v>1266.17</v>
      </c>
    </row>
    <row r="2249" spans="1:3" x14ac:dyDescent="0.25">
      <c r="A2249" s="15">
        <f t="shared" si="54"/>
        <v>45915</v>
      </c>
      <c r="B2249" s="72">
        <f t="shared" si="52"/>
        <v>0.32187500000000002</v>
      </c>
      <c r="C2249" s="157">
        <f t="shared" si="53"/>
        <v>1266.17</v>
      </c>
    </row>
    <row r="2250" spans="1:3" x14ac:dyDescent="0.25">
      <c r="A2250" s="15">
        <f t="shared" si="54"/>
        <v>45916</v>
      </c>
      <c r="B2250" s="72">
        <f t="shared" si="52"/>
        <v>0.32187500000000002</v>
      </c>
      <c r="C2250" s="157">
        <f t="shared" si="53"/>
        <v>1266.17</v>
      </c>
    </row>
    <row r="2251" spans="1:3" x14ac:dyDescent="0.25">
      <c r="A2251" s="15">
        <f t="shared" si="54"/>
        <v>45917</v>
      </c>
      <c r="B2251" s="72">
        <f t="shared" ref="B2251:B2314" si="55">+B2250</f>
        <v>0.32187500000000002</v>
      </c>
      <c r="C2251" s="157">
        <f t="shared" si="53"/>
        <v>1266.17</v>
      </c>
    </row>
    <row r="2252" spans="1:3" x14ac:dyDescent="0.25">
      <c r="A2252" s="15">
        <f t="shared" si="54"/>
        <v>45918</v>
      </c>
      <c r="B2252" s="72">
        <f t="shared" si="55"/>
        <v>0.32187500000000002</v>
      </c>
      <c r="C2252" s="157">
        <f t="shared" ref="C2252:C2315" si="56">+C2251</f>
        <v>1266.17</v>
      </c>
    </row>
    <row r="2253" spans="1:3" x14ac:dyDescent="0.25">
      <c r="A2253" s="15">
        <f t="shared" si="54"/>
        <v>45919</v>
      </c>
      <c r="B2253" s="72">
        <f t="shared" si="55"/>
        <v>0.32187500000000002</v>
      </c>
      <c r="C2253" s="157">
        <f t="shared" si="56"/>
        <v>1266.17</v>
      </c>
    </row>
    <row r="2254" spans="1:3" x14ac:dyDescent="0.25">
      <c r="A2254" s="15">
        <f t="shared" si="54"/>
        <v>45922</v>
      </c>
      <c r="B2254" s="72">
        <f t="shared" si="55"/>
        <v>0.32187500000000002</v>
      </c>
      <c r="C2254" s="157">
        <f t="shared" si="56"/>
        <v>1266.17</v>
      </c>
    </row>
    <row r="2255" spans="1:3" x14ac:dyDescent="0.25">
      <c r="A2255" s="15">
        <f t="shared" si="54"/>
        <v>45923</v>
      </c>
      <c r="B2255" s="72">
        <f t="shared" si="55"/>
        <v>0.32187500000000002</v>
      </c>
      <c r="C2255" s="157">
        <f t="shared" si="56"/>
        <v>1266.17</v>
      </c>
    </row>
    <row r="2256" spans="1:3" x14ac:dyDescent="0.25">
      <c r="A2256" s="15">
        <f t="shared" si="54"/>
        <v>45924</v>
      </c>
      <c r="B2256" s="72">
        <f t="shared" si="55"/>
        <v>0.32187500000000002</v>
      </c>
      <c r="C2256" s="157">
        <f t="shared" si="56"/>
        <v>1266.17</v>
      </c>
    </row>
    <row r="2257" spans="1:3" x14ac:dyDescent="0.25">
      <c r="A2257" s="15">
        <f t="shared" si="54"/>
        <v>45925</v>
      </c>
      <c r="B2257" s="72">
        <f t="shared" si="55"/>
        <v>0.32187500000000002</v>
      </c>
      <c r="C2257" s="157">
        <f t="shared" si="56"/>
        <v>1266.17</v>
      </c>
    </row>
    <row r="2258" spans="1:3" x14ac:dyDescent="0.25">
      <c r="A2258" s="15">
        <f t="shared" si="54"/>
        <v>45926</v>
      </c>
      <c r="B2258" s="72">
        <f t="shared" si="55"/>
        <v>0.32187500000000002</v>
      </c>
      <c r="C2258" s="157">
        <f t="shared" si="56"/>
        <v>1266.17</v>
      </c>
    </row>
    <row r="2259" spans="1:3" x14ac:dyDescent="0.25">
      <c r="A2259" s="15">
        <f t="shared" si="54"/>
        <v>45929</v>
      </c>
      <c r="B2259" s="72">
        <f t="shared" si="55"/>
        <v>0.32187500000000002</v>
      </c>
      <c r="C2259" s="157">
        <f t="shared" si="56"/>
        <v>1266.17</v>
      </c>
    </row>
    <row r="2260" spans="1:3" x14ac:dyDescent="0.25">
      <c r="A2260" s="15">
        <f t="shared" si="54"/>
        <v>45930</v>
      </c>
      <c r="B2260" s="72">
        <f t="shared" si="55"/>
        <v>0.32187500000000002</v>
      </c>
      <c r="C2260" s="157">
        <f t="shared" si="56"/>
        <v>1266.17</v>
      </c>
    </row>
    <row r="2261" spans="1:3" x14ac:dyDescent="0.25">
      <c r="A2261" s="15">
        <f t="shared" si="54"/>
        <v>45931</v>
      </c>
      <c r="B2261" s="72">
        <f t="shared" si="55"/>
        <v>0.32187500000000002</v>
      </c>
      <c r="C2261" s="157">
        <f t="shared" si="56"/>
        <v>1266.17</v>
      </c>
    </row>
    <row r="2262" spans="1:3" x14ac:dyDescent="0.25">
      <c r="A2262" s="15">
        <f t="shared" si="54"/>
        <v>45932</v>
      </c>
      <c r="B2262" s="72">
        <f t="shared" si="55"/>
        <v>0.32187500000000002</v>
      </c>
      <c r="C2262" s="157">
        <f t="shared" si="56"/>
        <v>1266.17</v>
      </c>
    </row>
    <row r="2263" spans="1:3" x14ac:dyDescent="0.25">
      <c r="A2263" s="15">
        <f t="shared" si="54"/>
        <v>45933</v>
      </c>
      <c r="B2263" s="72">
        <f t="shared" si="55"/>
        <v>0.32187500000000002</v>
      </c>
      <c r="C2263" s="157">
        <f t="shared" si="56"/>
        <v>1266.17</v>
      </c>
    </row>
    <row r="2264" spans="1:3" x14ac:dyDescent="0.25">
      <c r="A2264" s="15">
        <f t="shared" si="54"/>
        <v>45936</v>
      </c>
      <c r="B2264" s="72">
        <f t="shared" si="55"/>
        <v>0.32187500000000002</v>
      </c>
      <c r="C2264" s="157">
        <f t="shared" si="56"/>
        <v>1266.17</v>
      </c>
    </row>
    <row r="2265" spans="1:3" x14ac:dyDescent="0.25">
      <c r="A2265" s="15">
        <f t="shared" si="54"/>
        <v>45937</v>
      </c>
      <c r="B2265" s="72">
        <f t="shared" si="55"/>
        <v>0.32187500000000002</v>
      </c>
      <c r="C2265" s="157">
        <f t="shared" si="56"/>
        <v>1266.17</v>
      </c>
    </row>
    <row r="2266" spans="1:3" x14ac:dyDescent="0.25">
      <c r="A2266" s="15">
        <f t="shared" si="54"/>
        <v>45938</v>
      </c>
      <c r="B2266" s="72">
        <f t="shared" si="55"/>
        <v>0.32187500000000002</v>
      </c>
      <c r="C2266" s="157">
        <f t="shared" si="56"/>
        <v>1266.17</v>
      </c>
    </row>
    <row r="2267" spans="1:3" x14ac:dyDescent="0.25">
      <c r="A2267" s="15">
        <f t="shared" si="54"/>
        <v>45939</v>
      </c>
      <c r="B2267" s="72">
        <f t="shared" si="55"/>
        <v>0.32187500000000002</v>
      </c>
      <c r="C2267" s="157">
        <f t="shared" si="56"/>
        <v>1266.17</v>
      </c>
    </row>
    <row r="2268" spans="1:3" x14ac:dyDescent="0.25">
      <c r="A2268" s="15">
        <f t="shared" si="54"/>
        <v>45940</v>
      </c>
      <c r="B2268" s="72">
        <f t="shared" si="55"/>
        <v>0.32187500000000002</v>
      </c>
      <c r="C2268" s="157">
        <f t="shared" si="56"/>
        <v>1266.17</v>
      </c>
    </row>
    <row r="2269" spans="1:3" x14ac:dyDescent="0.25">
      <c r="A2269" s="15">
        <f t="shared" si="54"/>
        <v>45943</v>
      </c>
      <c r="B2269" s="72">
        <f t="shared" si="55"/>
        <v>0.32187500000000002</v>
      </c>
      <c r="C2269" s="157">
        <f t="shared" si="56"/>
        <v>1266.17</v>
      </c>
    </row>
    <row r="2270" spans="1:3" x14ac:dyDescent="0.25">
      <c r="A2270" s="15">
        <f t="shared" si="54"/>
        <v>45944</v>
      </c>
      <c r="B2270" s="72">
        <f t="shared" si="55"/>
        <v>0.32187500000000002</v>
      </c>
      <c r="C2270" s="157">
        <f t="shared" si="56"/>
        <v>1266.17</v>
      </c>
    </row>
    <row r="2271" spans="1:3" x14ac:dyDescent="0.25">
      <c r="A2271" s="15">
        <f t="shared" si="54"/>
        <v>45945</v>
      </c>
      <c r="B2271" s="72">
        <f t="shared" si="55"/>
        <v>0.32187500000000002</v>
      </c>
      <c r="C2271" s="157">
        <f t="shared" si="56"/>
        <v>1266.17</v>
      </c>
    </row>
    <row r="2272" spans="1:3" x14ac:dyDescent="0.25">
      <c r="A2272" s="15">
        <f t="shared" si="54"/>
        <v>45946</v>
      </c>
      <c r="B2272" s="72">
        <f t="shared" si="55"/>
        <v>0.32187500000000002</v>
      </c>
      <c r="C2272" s="157">
        <f t="shared" si="56"/>
        <v>1266.17</v>
      </c>
    </row>
    <row r="2273" spans="1:3" x14ac:dyDescent="0.25">
      <c r="A2273" s="15">
        <f t="shared" si="54"/>
        <v>45947</v>
      </c>
      <c r="B2273" s="72">
        <f t="shared" si="55"/>
        <v>0.32187500000000002</v>
      </c>
      <c r="C2273" s="157">
        <f t="shared" si="56"/>
        <v>1266.17</v>
      </c>
    </row>
    <row r="2274" spans="1:3" x14ac:dyDescent="0.25">
      <c r="A2274" s="15">
        <f t="shared" si="54"/>
        <v>45950</v>
      </c>
      <c r="B2274" s="72">
        <f t="shared" si="55"/>
        <v>0.32187500000000002</v>
      </c>
      <c r="C2274" s="157">
        <f t="shared" si="56"/>
        <v>1266.17</v>
      </c>
    </row>
    <row r="2275" spans="1:3" x14ac:dyDescent="0.25">
      <c r="A2275" s="15">
        <f t="shared" si="54"/>
        <v>45951</v>
      </c>
      <c r="B2275" s="72">
        <f t="shared" si="55"/>
        <v>0.32187500000000002</v>
      </c>
      <c r="C2275" s="157">
        <f t="shared" si="56"/>
        <v>1266.17</v>
      </c>
    </row>
    <row r="2276" spans="1:3" x14ac:dyDescent="0.25">
      <c r="A2276" s="15">
        <f t="shared" si="54"/>
        <v>45952</v>
      </c>
      <c r="B2276" s="72">
        <f t="shared" si="55"/>
        <v>0.32187500000000002</v>
      </c>
      <c r="C2276" s="157">
        <f t="shared" si="56"/>
        <v>1266.17</v>
      </c>
    </row>
    <row r="2277" spans="1:3" x14ac:dyDescent="0.25">
      <c r="A2277" s="15">
        <f t="shared" si="54"/>
        <v>45953</v>
      </c>
      <c r="B2277" s="72">
        <f t="shared" si="55"/>
        <v>0.32187500000000002</v>
      </c>
      <c r="C2277" s="157">
        <f t="shared" si="56"/>
        <v>1266.17</v>
      </c>
    </row>
    <row r="2278" spans="1:3" x14ac:dyDescent="0.25">
      <c r="A2278" s="15">
        <f t="shared" si="54"/>
        <v>45954</v>
      </c>
      <c r="B2278" s="72">
        <f t="shared" si="55"/>
        <v>0.32187500000000002</v>
      </c>
      <c r="C2278" s="157">
        <f t="shared" si="56"/>
        <v>1266.17</v>
      </c>
    </row>
    <row r="2279" spans="1:3" x14ac:dyDescent="0.25">
      <c r="A2279" s="15">
        <f t="shared" si="54"/>
        <v>45957</v>
      </c>
      <c r="B2279" s="72">
        <f t="shared" si="55"/>
        <v>0.32187500000000002</v>
      </c>
      <c r="C2279" s="157">
        <f t="shared" si="56"/>
        <v>1266.17</v>
      </c>
    </row>
    <row r="2280" spans="1:3" x14ac:dyDescent="0.25">
      <c r="A2280" s="15">
        <f t="shared" si="54"/>
        <v>45958</v>
      </c>
      <c r="B2280" s="72">
        <f t="shared" si="55"/>
        <v>0.32187500000000002</v>
      </c>
      <c r="C2280" s="157">
        <f t="shared" si="56"/>
        <v>1266.17</v>
      </c>
    </row>
    <row r="2281" spans="1:3" x14ac:dyDescent="0.25">
      <c r="A2281" s="15">
        <f t="shared" si="54"/>
        <v>45959</v>
      </c>
      <c r="B2281" s="72">
        <f t="shared" si="55"/>
        <v>0.32187500000000002</v>
      </c>
      <c r="C2281" s="157">
        <f t="shared" si="56"/>
        <v>1266.17</v>
      </c>
    </row>
    <row r="2282" spans="1:3" x14ac:dyDescent="0.25">
      <c r="A2282" s="15">
        <f t="shared" si="54"/>
        <v>45960</v>
      </c>
      <c r="B2282" s="72">
        <f t="shared" si="55"/>
        <v>0.32187500000000002</v>
      </c>
      <c r="C2282" s="157">
        <f t="shared" si="56"/>
        <v>1266.17</v>
      </c>
    </row>
    <row r="2283" spans="1:3" x14ac:dyDescent="0.25">
      <c r="A2283" s="15">
        <f t="shared" si="54"/>
        <v>45961</v>
      </c>
      <c r="B2283" s="72">
        <f t="shared" si="55"/>
        <v>0.32187500000000002</v>
      </c>
      <c r="C2283" s="157">
        <f t="shared" si="56"/>
        <v>1266.17</v>
      </c>
    </row>
    <row r="2284" spans="1:3" x14ac:dyDescent="0.25">
      <c r="A2284" s="15">
        <f t="shared" si="54"/>
        <v>45964</v>
      </c>
      <c r="B2284" s="72">
        <f t="shared" si="55"/>
        <v>0.32187500000000002</v>
      </c>
      <c r="C2284" s="157">
        <f t="shared" si="56"/>
        <v>1266.17</v>
      </c>
    </row>
    <row r="2285" spans="1:3" x14ac:dyDescent="0.25">
      <c r="A2285" s="15">
        <f t="shared" si="54"/>
        <v>45965</v>
      </c>
      <c r="B2285" s="72">
        <f t="shared" si="55"/>
        <v>0.32187500000000002</v>
      </c>
      <c r="C2285" s="157">
        <f t="shared" si="56"/>
        <v>1266.17</v>
      </c>
    </row>
    <row r="2286" spans="1:3" x14ac:dyDescent="0.25">
      <c r="A2286" s="15">
        <f t="shared" si="54"/>
        <v>45966</v>
      </c>
      <c r="B2286" s="72">
        <f t="shared" si="55"/>
        <v>0.32187500000000002</v>
      </c>
      <c r="C2286" s="157">
        <f t="shared" si="56"/>
        <v>1266.17</v>
      </c>
    </row>
    <row r="2287" spans="1:3" x14ac:dyDescent="0.25">
      <c r="A2287" s="15">
        <f t="shared" si="54"/>
        <v>45967</v>
      </c>
      <c r="B2287" s="72">
        <f t="shared" si="55"/>
        <v>0.32187500000000002</v>
      </c>
      <c r="C2287" s="157">
        <f t="shared" si="56"/>
        <v>1266.17</v>
      </c>
    </row>
    <row r="2288" spans="1:3" x14ac:dyDescent="0.25">
      <c r="A2288" s="15">
        <f t="shared" si="54"/>
        <v>45968</v>
      </c>
      <c r="B2288" s="72">
        <f t="shared" si="55"/>
        <v>0.32187500000000002</v>
      </c>
      <c r="C2288" s="157">
        <f t="shared" si="56"/>
        <v>1266.17</v>
      </c>
    </row>
    <row r="2289" spans="1:3" x14ac:dyDescent="0.25">
      <c r="A2289" s="15">
        <f t="shared" si="54"/>
        <v>45971</v>
      </c>
      <c r="B2289" s="72">
        <f t="shared" si="55"/>
        <v>0.32187500000000002</v>
      </c>
      <c r="C2289" s="157">
        <f t="shared" si="56"/>
        <v>1266.17</v>
      </c>
    </row>
    <row r="2290" spans="1:3" x14ac:dyDescent="0.25">
      <c r="A2290" s="15">
        <f t="shared" si="54"/>
        <v>45972</v>
      </c>
      <c r="B2290" s="72">
        <f t="shared" si="55"/>
        <v>0.32187500000000002</v>
      </c>
      <c r="C2290" s="157">
        <f t="shared" si="56"/>
        <v>1266.17</v>
      </c>
    </row>
    <row r="2291" spans="1:3" x14ac:dyDescent="0.25">
      <c r="A2291" s="15">
        <f t="shared" si="54"/>
        <v>45973</v>
      </c>
      <c r="B2291" s="72">
        <f t="shared" si="55"/>
        <v>0.32187500000000002</v>
      </c>
      <c r="C2291" s="157">
        <f t="shared" si="56"/>
        <v>1266.17</v>
      </c>
    </row>
    <row r="2292" spans="1:3" x14ac:dyDescent="0.25">
      <c r="A2292" s="15">
        <f t="shared" si="54"/>
        <v>45974</v>
      </c>
      <c r="B2292" s="72">
        <f t="shared" si="55"/>
        <v>0.32187500000000002</v>
      </c>
      <c r="C2292" s="157">
        <f t="shared" si="56"/>
        <v>1266.17</v>
      </c>
    </row>
    <row r="2293" spans="1:3" x14ac:dyDescent="0.25">
      <c r="A2293" s="15">
        <f t="shared" si="54"/>
        <v>45975</v>
      </c>
      <c r="B2293" s="72">
        <f t="shared" si="55"/>
        <v>0.32187500000000002</v>
      </c>
      <c r="C2293" s="157">
        <f t="shared" si="56"/>
        <v>1266.17</v>
      </c>
    </row>
    <row r="2294" spans="1:3" x14ac:dyDescent="0.25">
      <c r="A2294" s="15">
        <f t="shared" si="54"/>
        <v>45978</v>
      </c>
      <c r="B2294" s="72">
        <f t="shared" si="55"/>
        <v>0.32187500000000002</v>
      </c>
      <c r="C2294" s="157">
        <f t="shared" si="56"/>
        <v>1266.17</v>
      </c>
    </row>
    <row r="2295" spans="1:3" x14ac:dyDescent="0.25">
      <c r="A2295" s="15">
        <f t="shared" si="54"/>
        <v>45979</v>
      </c>
      <c r="B2295" s="72">
        <f t="shared" si="55"/>
        <v>0.32187500000000002</v>
      </c>
      <c r="C2295" s="157">
        <f t="shared" si="56"/>
        <v>1266.17</v>
      </c>
    </row>
    <row r="2296" spans="1:3" x14ac:dyDescent="0.25">
      <c r="A2296" s="15">
        <f t="shared" si="54"/>
        <v>45980</v>
      </c>
      <c r="B2296" s="72">
        <f t="shared" si="55"/>
        <v>0.32187500000000002</v>
      </c>
      <c r="C2296" s="157">
        <f t="shared" si="56"/>
        <v>1266.17</v>
      </c>
    </row>
    <row r="2297" spans="1:3" x14ac:dyDescent="0.25">
      <c r="A2297" s="15">
        <f t="shared" si="54"/>
        <v>45981</v>
      </c>
      <c r="B2297" s="72">
        <f t="shared" si="55"/>
        <v>0.32187500000000002</v>
      </c>
      <c r="C2297" s="157">
        <f t="shared" si="56"/>
        <v>1266.17</v>
      </c>
    </row>
    <row r="2298" spans="1:3" x14ac:dyDescent="0.25">
      <c r="A2298" s="15">
        <f t="shared" si="54"/>
        <v>45982</v>
      </c>
      <c r="B2298" s="72">
        <f t="shared" si="55"/>
        <v>0.32187500000000002</v>
      </c>
      <c r="C2298" s="157">
        <f t="shared" si="56"/>
        <v>1266.17</v>
      </c>
    </row>
    <row r="2299" spans="1:3" x14ac:dyDescent="0.25">
      <c r="A2299" s="15">
        <f t="shared" si="54"/>
        <v>45985</v>
      </c>
      <c r="B2299" s="72">
        <f t="shared" si="55"/>
        <v>0.32187500000000002</v>
      </c>
      <c r="C2299" s="157">
        <f t="shared" si="56"/>
        <v>1266.17</v>
      </c>
    </row>
    <row r="2300" spans="1:3" x14ac:dyDescent="0.25">
      <c r="A2300" s="15">
        <f t="shared" ref="A2300:A2363" si="57">+WORKDAY.INTL(A2299,1,1,)</f>
        <v>45986</v>
      </c>
      <c r="B2300" s="72">
        <f t="shared" si="55"/>
        <v>0.32187500000000002</v>
      </c>
      <c r="C2300" s="157">
        <f t="shared" si="56"/>
        <v>1266.17</v>
      </c>
    </row>
    <row r="2301" spans="1:3" x14ac:dyDescent="0.25">
      <c r="A2301" s="15">
        <f t="shared" si="57"/>
        <v>45987</v>
      </c>
      <c r="B2301" s="72">
        <f t="shared" si="55"/>
        <v>0.32187500000000002</v>
      </c>
      <c r="C2301" s="157">
        <f t="shared" si="56"/>
        <v>1266.17</v>
      </c>
    </row>
    <row r="2302" spans="1:3" x14ac:dyDescent="0.25">
      <c r="A2302" s="15">
        <f t="shared" si="57"/>
        <v>45988</v>
      </c>
      <c r="B2302" s="72">
        <f t="shared" si="55"/>
        <v>0.32187500000000002</v>
      </c>
      <c r="C2302" s="157">
        <f t="shared" si="56"/>
        <v>1266.17</v>
      </c>
    </row>
    <row r="2303" spans="1:3" x14ac:dyDescent="0.25">
      <c r="A2303" s="15">
        <f t="shared" si="57"/>
        <v>45989</v>
      </c>
      <c r="B2303" s="72">
        <f t="shared" si="55"/>
        <v>0.32187500000000002</v>
      </c>
      <c r="C2303" s="157">
        <f t="shared" si="56"/>
        <v>1266.17</v>
      </c>
    </row>
    <row r="2304" spans="1:3" x14ac:dyDescent="0.25">
      <c r="A2304" s="15">
        <f t="shared" si="57"/>
        <v>45992</v>
      </c>
      <c r="B2304" s="72">
        <f t="shared" si="55"/>
        <v>0.32187500000000002</v>
      </c>
      <c r="C2304" s="157">
        <f t="shared" si="56"/>
        <v>1266.17</v>
      </c>
    </row>
    <row r="2305" spans="1:3" x14ac:dyDescent="0.25">
      <c r="A2305" s="15">
        <f t="shared" si="57"/>
        <v>45993</v>
      </c>
      <c r="B2305" s="72">
        <f t="shared" si="55"/>
        <v>0.32187500000000002</v>
      </c>
      <c r="C2305" s="157">
        <f t="shared" si="56"/>
        <v>1266.17</v>
      </c>
    </row>
    <row r="2306" spans="1:3" x14ac:dyDescent="0.25">
      <c r="A2306" s="15">
        <f t="shared" si="57"/>
        <v>45994</v>
      </c>
      <c r="B2306" s="72">
        <f t="shared" si="55"/>
        <v>0.32187500000000002</v>
      </c>
      <c r="C2306" s="157">
        <f t="shared" si="56"/>
        <v>1266.17</v>
      </c>
    </row>
    <row r="2307" spans="1:3" x14ac:dyDescent="0.25">
      <c r="A2307" s="15">
        <f t="shared" si="57"/>
        <v>45995</v>
      </c>
      <c r="B2307" s="72">
        <f t="shared" si="55"/>
        <v>0.32187500000000002</v>
      </c>
      <c r="C2307" s="157">
        <f t="shared" si="56"/>
        <v>1266.17</v>
      </c>
    </row>
    <row r="2308" spans="1:3" x14ac:dyDescent="0.25">
      <c r="A2308" s="15">
        <f t="shared" si="57"/>
        <v>45996</v>
      </c>
      <c r="B2308" s="72">
        <f t="shared" si="55"/>
        <v>0.32187500000000002</v>
      </c>
      <c r="C2308" s="157">
        <f t="shared" si="56"/>
        <v>1266.17</v>
      </c>
    </row>
    <row r="2309" spans="1:3" x14ac:dyDescent="0.25">
      <c r="A2309" s="15">
        <f t="shared" si="57"/>
        <v>45999</v>
      </c>
      <c r="B2309" s="72">
        <f t="shared" si="55"/>
        <v>0.32187500000000002</v>
      </c>
      <c r="C2309" s="157">
        <f t="shared" si="56"/>
        <v>1266.17</v>
      </c>
    </row>
    <row r="2310" spans="1:3" x14ac:dyDescent="0.25">
      <c r="A2310" s="15">
        <f t="shared" si="57"/>
        <v>46000</v>
      </c>
      <c r="B2310" s="72">
        <f t="shared" si="55"/>
        <v>0.32187500000000002</v>
      </c>
      <c r="C2310" s="157">
        <f t="shared" si="56"/>
        <v>1266.17</v>
      </c>
    </row>
    <row r="2311" spans="1:3" x14ac:dyDescent="0.25">
      <c r="A2311" s="15">
        <f t="shared" si="57"/>
        <v>46001</v>
      </c>
      <c r="B2311" s="72">
        <f t="shared" si="55"/>
        <v>0.32187500000000002</v>
      </c>
      <c r="C2311" s="157">
        <f t="shared" si="56"/>
        <v>1266.17</v>
      </c>
    </row>
    <row r="2312" spans="1:3" x14ac:dyDescent="0.25">
      <c r="A2312" s="15">
        <f t="shared" si="57"/>
        <v>46002</v>
      </c>
      <c r="B2312" s="72">
        <f t="shared" si="55"/>
        <v>0.32187500000000002</v>
      </c>
      <c r="C2312" s="157">
        <f t="shared" si="56"/>
        <v>1266.17</v>
      </c>
    </row>
    <row r="2313" spans="1:3" x14ac:dyDescent="0.25">
      <c r="A2313" s="15">
        <f t="shared" si="57"/>
        <v>46003</v>
      </c>
      <c r="B2313" s="72">
        <f t="shared" si="55"/>
        <v>0.32187500000000002</v>
      </c>
      <c r="C2313" s="157">
        <f t="shared" si="56"/>
        <v>1266.17</v>
      </c>
    </row>
    <row r="2314" spans="1:3" x14ac:dyDescent="0.25">
      <c r="A2314" s="15">
        <f t="shared" si="57"/>
        <v>46006</v>
      </c>
      <c r="B2314" s="72">
        <f t="shared" si="55"/>
        <v>0.32187500000000002</v>
      </c>
      <c r="C2314" s="157">
        <f t="shared" si="56"/>
        <v>1266.17</v>
      </c>
    </row>
    <row r="2315" spans="1:3" x14ac:dyDescent="0.25">
      <c r="A2315" s="15">
        <f t="shared" si="57"/>
        <v>46007</v>
      </c>
      <c r="B2315" s="72">
        <f t="shared" ref="B2315:B2378" si="58">+B2314</f>
        <v>0.32187500000000002</v>
      </c>
      <c r="C2315" s="157">
        <f t="shared" si="56"/>
        <v>1266.17</v>
      </c>
    </row>
    <row r="2316" spans="1:3" x14ac:dyDescent="0.25">
      <c r="A2316" s="15">
        <f t="shared" si="57"/>
        <v>46008</v>
      </c>
      <c r="B2316" s="72">
        <f t="shared" si="58"/>
        <v>0.32187500000000002</v>
      </c>
      <c r="C2316" s="157">
        <f t="shared" ref="C2316:C2379" si="59">+C2315</f>
        <v>1266.17</v>
      </c>
    </row>
    <row r="2317" spans="1:3" x14ac:dyDescent="0.25">
      <c r="A2317" s="15">
        <f t="shared" si="57"/>
        <v>46009</v>
      </c>
      <c r="B2317" s="72">
        <f t="shared" si="58"/>
        <v>0.32187500000000002</v>
      </c>
      <c r="C2317" s="157">
        <f t="shared" si="59"/>
        <v>1266.17</v>
      </c>
    </row>
    <row r="2318" spans="1:3" x14ac:dyDescent="0.25">
      <c r="A2318" s="15">
        <f t="shared" si="57"/>
        <v>46010</v>
      </c>
      <c r="B2318" s="72">
        <f t="shared" si="58"/>
        <v>0.32187500000000002</v>
      </c>
      <c r="C2318" s="157">
        <f t="shared" si="59"/>
        <v>1266.17</v>
      </c>
    </row>
    <row r="2319" spans="1:3" x14ac:dyDescent="0.25">
      <c r="A2319" s="15">
        <f t="shared" si="57"/>
        <v>46013</v>
      </c>
      <c r="B2319" s="72">
        <f t="shared" si="58"/>
        <v>0.32187500000000002</v>
      </c>
      <c r="C2319" s="157">
        <f t="shared" si="59"/>
        <v>1266.17</v>
      </c>
    </row>
    <row r="2320" spans="1:3" x14ac:dyDescent="0.25">
      <c r="A2320" s="15">
        <f t="shared" si="57"/>
        <v>46014</v>
      </c>
      <c r="B2320" s="72">
        <f t="shared" si="58"/>
        <v>0.32187500000000002</v>
      </c>
      <c r="C2320" s="157">
        <f t="shared" si="59"/>
        <v>1266.17</v>
      </c>
    </row>
    <row r="2321" spans="1:3" x14ac:dyDescent="0.25">
      <c r="A2321" s="15">
        <f t="shared" si="57"/>
        <v>46015</v>
      </c>
      <c r="B2321" s="72">
        <f t="shared" si="58"/>
        <v>0.32187500000000002</v>
      </c>
      <c r="C2321" s="157">
        <f t="shared" si="59"/>
        <v>1266.17</v>
      </c>
    </row>
    <row r="2322" spans="1:3" x14ac:dyDescent="0.25">
      <c r="A2322" s="15">
        <f t="shared" si="57"/>
        <v>46016</v>
      </c>
      <c r="B2322" s="72">
        <f t="shared" si="58"/>
        <v>0.32187500000000002</v>
      </c>
      <c r="C2322" s="157">
        <f t="shared" si="59"/>
        <v>1266.17</v>
      </c>
    </row>
    <row r="2323" spans="1:3" x14ac:dyDescent="0.25">
      <c r="A2323" s="15">
        <f t="shared" si="57"/>
        <v>46017</v>
      </c>
      <c r="B2323" s="72">
        <f t="shared" si="58"/>
        <v>0.32187500000000002</v>
      </c>
      <c r="C2323" s="157">
        <f t="shared" si="59"/>
        <v>1266.17</v>
      </c>
    </row>
    <row r="2324" spans="1:3" x14ac:dyDescent="0.25">
      <c r="A2324" s="15">
        <f t="shared" si="57"/>
        <v>46020</v>
      </c>
      <c r="B2324" s="72">
        <f t="shared" si="58"/>
        <v>0.32187500000000002</v>
      </c>
      <c r="C2324" s="157">
        <f t="shared" si="59"/>
        <v>1266.17</v>
      </c>
    </row>
    <row r="2325" spans="1:3" x14ac:dyDescent="0.25">
      <c r="A2325" s="15">
        <f t="shared" si="57"/>
        <v>46021</v>
      </c>
      <c r="B2325" s="72">
        <f t="shared" si="58"/>
        <v>0.32187500000000002</v>
      </c>
      <c r="C2325" s="157">
        <f t="shared" si="59"/>
        <v>1266.17</v>
      </c>
    </row>
    <row r="2326" spans="1:3" x14ac:dyDescent="0.25">
      <c r="A2326" s="15">
        <f t="shared" si="57"/>
        <v>46022</v>
      </c>
      <c r="B2326" s="72">
        <f t="shared" si="58"/>
        <v>0.32187500000000002</v>
      </c>
      <c r="C2326" s="157">
        <f t="shared" si="59"/>
        <v>1266.17</v>
      </c>
    </row>
    <row r="2327" spans="1:3" x14ac:dyDescent="0.25">
      <c r="A2327" s="15">
        <f t="shared" si="57"/>
        <v>46023</v>
      </c>
      <c r="B2327" s="72">
        <f t="shared" si="58"/>
        <v>0.32187500000000002</v>
      </c>
      <c r="C2327" s="157">
        <f t="shared" si="59"/>
        <v>1266.17</v>
      </c>
    </row>
    <row r="2328" spans="1:3" x14ac:dyDescent="0.25">
      <c r="A2328" s="15">
        <f t="shared" si="57"/>
        <v>46024</v>
      </c>
      <c r="B2328" s="72">
        <f t="shared" si="58"/>
        <v>0.32187500000000002</v>
      </c>
      <c r="C2328" s="157">
        <f t="shared" si="59"/>
        <v>1266.17</v>
      </c>
    </row>
    <row r="2329" spans="1:3" x14ac:dyDescent="0.25">
      <c r="A2329" s="15">
        <f t="shared" si="57"/>
        <v>46027</v>
      </c>
      <c r="B2329" s="72">
        <f t="shared" si="58"/>
        <v>0.32187500000000002</v>
      </c>
      <c r="C2329" s="157">
        <f t="shared" si="59"/>
        <v>1266.17</v>
      </c>
    </row>
    <row r="2330" spans="1:3" x14ac:dyDescent="0.25">
      <c r="A2330" s="15">
        <f t="shared" si="57"/>
        <v>46028</v>
      </c>
      <c r="B2330" s="72">
        <f t="shared" si="58"/>
        <v>0.32187500000000002</v>
      </c>
      <c r="C2330" s="157">
        <f t="shared" si="59"/>
        <v>1266.17</v>
      </c>
    </row>
    <row r="2331" spans="1:3" x14ac:dyDescent="0.25">
      <c r="A2331" s="15">
        <f t="shared" si="57"/>
        <v>46029</v>
      </c>
      <c r="B2331" s="72">
        <f t="shared" si="58"/>
        <v>0.32187500000000002</v>
      </c>
      <c r="C2331" s="157">
        <f t="shared" si="59"/>
        <v>1266.17</v>
      </c>
    </row>
    <row r="2332" spans="1:3" x14ac:dyDescent="0.25">
      <c r="A2332" s="15">
        <f t="shared" si="57"/>
        <v>46030</v>
      </c>
      <c r="B2332" s="72">
        <f t="shared" si="58"/>
        <v>0.32187500000000002</v>
      </c>
      <c r="C2332" s="157">
        <f t="shared" si="59"/>
        <v>1266.17</v>
      </c>
    </row>
    <row r="2333" spans="1:3" x14ac:dyDescent="0.25">
      <c r="A2333" s="15">
        <f t="shared" si="57"/>
        <v>46031</v>
      </c>
      <c r="B2333" s="72">
        <f t="shared" si="58"/>
        <v>0.32187500000000002</v>
      </c>
      <c r="C2333" s="157">
        <f t="shared" si="59"/>
        <v>1266.17</v>
      </c>
    </row>
    <row r="2334" spans="1:3" x14ac:dyDescent="0.25">
      <c r="A2334" s="15">
        <f t="shared" si="57"/>
        <v>46034</v>
      </c>
      <c r="B2334" s="72">
        <f t="shared" si="58"/>
        <v>0.32187500000000002</v>
      </c>
      <c r="C2334" s="157">
        <f t="shared" si="59"/>
        <v>1266.17</v>
      </c>
    </row>
    <row r="2335" spans="1:3" x14ac:dyDescent="0.25">
      <c r="A2335" s="15">
        <f t="shared" si="57"/>
        <v>46035</v>
      </c>
      <c r="B2335" s="72">
        <f t="shared" si="58"/>
        <v>0.32187500000000002</v>
      </c>
      <c r="C2335" s="157">
        <f t="shared" si="59"/>
        <v>1266.17</v>
      </c>
    </row>
    <row r="2336" spans="1:3" x14ac:dyDescent="0.25">
      <c r="A2336" s="15">
        <f t="shared" si="57"/>
        <v>46036</v>
      </c>
      <c r="B2336" s="72">
        <f t="shared" si="58"/>
        <v>0.32187500000000002</v>
      </c>
      <c r="C2336" s="157">
        <f t="shared" si="59"/>
        <v>1266.17</v>
      </c>
    </row>
    <row r="2337" spans="1:3" x14ac:dyDescent="0.25">
      <c r="A2337" s="15">
        <f t="shared" si="57"/>
        <v>46037</v>
      </c>
      <c r="B2337" s="72">
        <f t="shared" si="58"/>
        <v>0.32187500000000002</v>
      </c>
      <c r="C2337" s="157">
        <f t="shared" si="59"/>
        <v>1266.17</v>
      </c>
    </row>
    <row r="2338" spans="1:3" x14ac:dyDescent="0.25">
      <c r="A2338" s="15">
        <f t="shared" si="57"/>
        <v>46038</v>
      </c>
      <c r="B2338" s="72">
        <f t="shared" si="58"/>
        <v>0.32187500000000002</v>
      </c>
      <c r="C2338" s="157">
        <f t="shared" si="59"/>
        <v>1266.17</v>
      </c>
    </row>
    <row r="2339" spans="1:3" x14ac:dyDescent="0.25">
      <c r="A2339" s="15">
        <f t="shared" si="57"/>
        <v>46041</v>
      </c>
      <c r="B2339" s="72">
        <f t="shared" si="58"/>
        <v>0.32187500000000002</v>
      </c>
      <c r="C2339" s="157">
        <f t="shared" si="59"/>
        <v>1266.17</v>
      </c>
    </row>
    <row r="2340" spans="1:3" x14ac:dyDescent="0.25">
      <c r="A2340" s="15">
        <f t="shared" si="57"/>
        <v>46042</v>
      </c>
      <c r="B2340" s="72">
        <f t="shared" si="58"/>
        <v>0.32187500000000002</v>
      </c>
      <c r="C2340" s="157">
        <f t="shared" si="59"/>
        <v>1266.17</v>
      </c>
    </row>
    <row r="2341" spans="1:3" x14ac:dyDescent="0.25">
      <c r="A2341" s="15">
        <f t="shared" si="57"/>
        <v>46043</v>
      </c>
      <c r="B2341" s="72">
        <f t="shared" si="58"/>
        <v>0.32187500000000002</v>
      </c>
      <c r="C2341" s="157">
        <f t="shared" si="59"/>
        <v>1266.17</v>
      </c>
    </row>
    <row r="2342" spans="1:3" x14ac:dyDescent="0.25">
      <c r="A2342" s="15">
        <f t="shared" si="57"/>
        <v>46044</v>
      </c>
      <c r="B2342" s="72">
        <f t="shared" si="58"/>
        <v>0.32187500000000002</v>
      </c>
      <c r="C2342" s="157">
        <f t="shared" si="59"/>
        <v>1266.17</v>
      </c>
    </row>
    <row r="2343" spans="1:3" x14ac:dyDescent="0.25">
      <c r="A2343" s="15">
        <f t="shared" si="57"/>
        <v>46045</v>
      </c>
      <c r="B2343" s="72">
        <f t="shared" si="58"/>
        <v>0.32187500000000002</v>
      </c>
      <c r="C2343" s="157">
        <f t="shared" si="59"/>
        <v>1266.17</v>
      </c>
    </row>
    <row r="2344" spans="1:3" x14ac:dyDescent="0.25">
      <c r="A2344" s="15">
        <f t="shared" si="57"/>
        <v>46048</v>
      </c>
      <c r="B2344" s="72">
        <f t="shared" si="58"/>
        <v>0.32187500000000002</v>
      </c>
      <c r="C2344" s="157">
        <f t="shared" si="59"/>
        <v>1266.17</v>
      </c>
    </row>
    <row r="2345" spans="1:3" x14ac:dyDescent="0.25">
      <c r="A2345" s="15">
        <f t="shared" si="57"/>
        <v>46049</v>
      </c>
      <c r="B2345" s="72">
        <f t="shared" si="58"/>
        <v>0.32187500000000002</v>
      </c>
      <c r="C2345" s="157">
        <f t="shared" si="59"/>
        <v>1266.17</v>
      </c>
    </row>
    <row r="2346" spans="1:3" x14ac:dyDescent="0.25">
      <c r="A2346" s="15">
        <f t="shared" si="57"/>
        <v>46050</v>
      </c>
      <c r="B2346" s="72">
        <f t="shared" si="58"/>
        <v>0.32187500000000002</v>
      </c>
      <c r="C2346" s="157">
        <f t="shared" si="59"/>
        <v>1266.17</v>
      </c>
    </row>
    <row r="2347" spans="1:3" x14ac:dyDescent="0.25">
      <c r="A2347" s="15">
        <f t="shared" si="57"/>
        <v>46051</v>
      </c>
      <c r="B2347" s="72">
        <f t="shared" si="58"/>
        <v>0.32187500000000002</v>
      </c>
      <c r="C2347" s="157">
        <f t="shared" si="59"/>
        <v>1266.17</v>
      </c>
    </row>
    <row r="2348" spans="1:3" x14ac:dyDescent="0.25">
      <c r="A2348" s="15">
        <f t="shared" si="57"/>
        <v>46052</v>
      </c>
      <c r="B2348" s="72">
        <f t="shared" si="58"/>
        <v>0.32187500000000002</v>
      </c>
      <c r="C2348" s="157">
        <f t="shared" si="59"/>
        <v>1266.17</v>
      </c>
    </row>
    <row r="2349" spans="1:3" x14ac:dyDescent="0.25">
      <c r="A2349" s="15">
        <f t="shared" si="57"/>
        <v>46055</v>
      </c>
      <c r="B2349" s="72">
        <f t="shared" si="58"/>
        <v>0.32187500000000002</v>
      </c>
      <c r="C2349" s="157">
        <f t="shared" si="59"/>
        <v>1266.17</v>
      </c>
    </row>
    <row r="2350" spans="1:3" x14ac:dyDescent="0.25">
      <c r="A2350" s="15">
        <f t="shared" si="57"/>
        <v>46056</v>
      </c>
      <c r="B2350" s="72">
        <f t="shared" si="58"/>
        <v>0.32187500000000002</v>
      </c>
      <c r="C2350" s="157">
        <f t="shared" si="59"/>
        <v>1266.17</v>
      </c>
    </row>
    <row r="2351" spans="1:3" x14ac:dyDescent="0.25">
      <c r="A2351" s="15">
        <f t="shared" si="57"/>
        <v>46057</v>
      </c>
      <c r="B2351" s="72">
        <f t="shared" si="58"/>
        <v>0.32187500000000002</v>
      </c>
      <c r="C2351" s="157">
        <f t="shared" si="59"/>
        <v>1266.17</v>
      </c>
    </row>
    <row r="2352" spans="1:3" x14ac:dyDescent="0.25">
      <c r="A2352" s="15">
        <f t="shared" si="57"/>
        <v>46058</v>
      </c>
      <c r="B2352" s="72">
        <f t="shared" si="58"/>
        <v>0.32187500000000002</v>
      </c>
      <c r="C2352" s="157">
        <f t="shared" si="59"/>
        <v>1266.17</v>
      </c>
    </row>
    <row r="2353" spans="1:3" x14ac:dyDescent="0.25">
      <c r="A2353" s="15">
        <f t="shared" si="57"/>
        <v>46059</v>
      </c>
      <c r="B2353" s="72">
        <f t="shared" si="58"/>
        <v>0.32187500000000002</v>
      </c>
      <c r="C2353" s="157">
        <f t="shared" si="59"/>
        <v>1266.17</v>
      </c>
    </row>
    <row r="2354" spans="1:3" x14ac:dyDescent="0.25">
      <c r="A2354" s="15">
        <f t="shared" si="57"/>
        <v>46062</v>
      </c>
      <c r="B2354" s="72">
        <f t="shared" si="58"/>
        <v>0.32187500000000002</v>
      </c>
      <c r="C2354" s="157">
        <f t="shared" si="59"/>
        <v>1266.17</v>
      </c>
    </row>
    <row r="2355" spans="1:3" x14ac:dyDescent="0.25">
      <c r="A2355" s="15">
        <f t="shared" si="57"/>
        <v>46063</v>
      </c>
      <c r="B2355" s="72">
        <f t="shared" si="58"/>
        <v>0.32187500000000002</v>
      </c>
      <c r="C2355" s="157">
        <f t="shared" si="59"/>
        <v>1266.17</v>
      </c>
    </row>
    <row r="2356" spans="1:3" x14ac:dyDescent="0.25">
      <c r="A2356" s="15">
        <f t="shared" si="57"/>
        <v>46064</v>
      </c>
      <c r="B2356" s="72">
        <f t="shared" si="58"/>
        <v>0.32187500000000002</v>
      </c>
      <c r="C2356" s="157">
        <f t="shared" si="59"/>
        <v>1266.17</v>
      </c>
    </row>
    <row r="2357" spans="1:3" x14ac:dyDescent="0.25">
      <c r="A2357" s="15">
        <f t="shared" si="57"/>
        <v>46065</v>
      </c>
      <c r="B2357" s="72">
        <f t="shared" si="58"/>
        <v>0.32187500000000002</v>
      </c>
      <c r="C2357" s="157">
        <f t="shared" si="59"/>
        <v>1266.17</v>
      </c>
    </row>
    <row r="2358" spans="1:3" x14ac:dyDescent="0.25">
      <c r="A2358" s="15">
        <f t="shared" si="57"/>
        <v>46066</v>
      </c>
      <c r="B2358" s="72">
        <f t="shared" si="58"/>
        <v>0.32187500000000002</v>
      </c>
      <c r="C2358" s="157">
        <f t="shared" si="59"/>
        <v>1266.17</v>
      </c>
    </row>
    <row r="2359" spans="1:3" x14ac:dyDescent="0.25">
      <c r="A2359" s="15">
        <f t="shared" si="57"/>
        <v>46069</v>
      </c>
      <c r="B2359" s="72">
        <f t="shared" si="58"/>
        <v>0.32187500000000002</v>
      </c>
      <c r="C2359" s="157">
        <f t="shared" si="59"/>
        <v>1266.17</v>
      </c>
    </row>
    <row r="2360" spans="1:3" x14ac:dyDescent="0.25">
      <c r="A2360" s="15">
        <f t="shared" si="57"/>
        <v>46070</v>
      </c>
      <c r="B2360" s="72">
        <f t="shared" si="58"/>
        <v>0.32187500000000002</v>
      </c>
      <c r="C2360" s="157">
        <f t="shared" si="59"/>
        <v>1266.17</v>
      </c>
    </row>
    <row r="2361" spans="1:3" x14ac:dyDescent="0.25">
      <c r="A2361" s="15">
        <f t="shared" si="57"/>
        <v>46071</v>
      </c>
      <c r="B2361" s="72">
        <f t="shared" si="58"/>
        <v>0.32187500000000002</v>
      </c>
      <c r="C2361" s="157">
        <f t="shared" si="59"/>
        <v>1266.17</v>
      </c>
    </row>
    <row r="2362" spans="1:3" x14ac:dyDescent="0.25">
      <c r="A2362" s="15">
        <f t="shared" si="57"/>
        <v>46072</v>
      </c>
      <c r="B2362" s="72">
        <f t="shared" si="58"/>
        <v>0.32187500000000002</v>
      </c>
      <c r="C2362" s="157">
        <f t="shared" si="59"/>
        <v>1266.17</v>
      </c>
    </row>
    <row r="2363" spans="1:3" x14ac:dyDescent="0.25">
      <c r="A2363" s="15">
        <f t="shared" si="57"/>
        <v>46073</v>
      </c>
      <c r="B2363" s="72">
        <f t="shared" si="58"/>
        <v>0.32187500000000002</v>
      </c>
      <c r="C2363" s="157">
        <f t="shared" si="59"/>
        <v>1266.17</v>
      </c>
    </row>
    <row r="2364" spans="1:3" x14ac:dyDescent="0.25">
      <c r="A2364" s="15">
        <f t="shared" ref="A2364:A2427" si="60">+WORKDAY.INTL(A2363,1,1,)</f>
        <v>46076</v>
      </c>
      <c r="B2364" s="72">
        <f t="shared" si="58"/>
        <v>0.32187500000000002</v>
      </c>
      <c r="C2364" s="157">
        <f t="shared" si="59"/>
        <v>1266.17</v>
      </c>
    </row>
    <row r="2365" spans="1:3" x14ac:dyDescent="0.25">
      <c r="A2365" s="15">
        <f t="shared" si="60"/>
        <v>46077</v>
      </c>
      <c r="B2365" s="72">
        <f t="shared" si="58"/>
        <v>0.32187500000000002</v>
      </c>
      <c r="C2365" s="157">
        <f t="shared" si="59"/>
        <v>1266.17</v>
      </c>
    </row>
    <row r="2366" spans="1:3" x14ac:dyDescent="0.25">
      <c r="A2366" s="15">
        <f t="shared" si="60"/>
        <v>46078</v>
      </c>
      <c r="B2366" s="72">
        <f t="shared" si="58"/>
        <v>0.32187500000000002</v>
      </c>
      <c r="C2366" s="157">
        <f t="shared" si="59"/>
        <v>1266.17</v>
      </c>
    </row>
    <row r="2367" spans="1:3" x14ac:dyDescent="0.25">
      <c r="A2367" s="15">
        <f t="shared" si="60"/>
        <v>46079</v>
      </c>
      <c r="B2367" s="72">
        <f t="shared" si="58"/>
        <v>0.32187500000000002</v>
      </c>
      <c r="C2367" s="157">
        <f t="shared" si="59"/>
        <v>1266.17</v>
      </c>
    </row>
    <row r="2368" spans="1:3" x14ac:dyDescent="0.25">
      <c r="A2368" s="15">
        <f t="shared" si="60"/>
        <v>46080</v>
      </c>
      <c r="B2368" s="72">
        <f t="shared" si="58"/>
        <v>0.32187500000000002</v>
      </c>
      <c r="C2368" s="157">
        <f t="shared" si="59"/>
        <v>1266.17</v>
      </c>
    </row>
    <row r="2369" spans="1:3" x14ac:dyDescent="0.25">
      <c r="A2369" s="15">
        <f t="shared" si="60"/>
        <v>46083</v>
      </c>
      <c r="B2369" s="72">
        <f t="shared" si="58"/>
        <v>0.32187500000000002</v>
      </c>
      <c r="C2369" s="157">
        <f t="shared" si="59"/>
        <v>1266.17</v>
      </c>
    </row>
    <row r="2370" spans="1:3" x14ac:dyDescent="0.25">
      <c r="A2370" s="15">
        <f t="shared" si="60"/>
        <v>46084</v>
      </c>
      <c r="B2370" s="72">
        <f t="shared" si="58"/>
        <v>0.32187500000000002</v>
      </c>
      <c r="C2370" s="157">
        <f t="shared" si="59"/>
        <v>1266.17</v>
      </c>
    </row>
    <row r="2371" spans="1:3" x14ac:dyDescent="0.25">
      <c r="A2371" s="15">
        <f t="shared" si="60"/>
        <v>46085</v>
      </c>
      <c r="B2371" s="72">
        <f t="shared" si="58"/>
        <v>0.32187500000000002</v>
      </c>
      <c r="C2371" s="157">
        <f t="shared" si="59"/>
        <v>1266.17</v>
      </c>
    </row>
    <row r="2372" spans="1:3" x14ac:dyDescent="0.25">
      <c r="A2372" s="15">
        <f t="shared" si="60"/>
        <v>46086</v>
      </c>
      <c r="B2372" s="72">
        <f t="shared" si="58"/>
        <v>0.32187500000000002</v>
      </c>
      <c r="C2372" s="157">
        <f t="shared" si="59"/>
        <v>1266.17</v>
      </c>
    </row>
    <row r="2373" spans="1:3" x14ac:dyDescent="0.25">
      <c r="A2373" s="15">
        <f t="shared" si="60"/>
        <v>46087</v>
      </c>
      <c r="B2373" s="72">
        <f t="shared" si="58"/>
        <v>0.32187500000000002</v>
      </c>
      <c r="C2373" s="157">
        <f t="shared" si="59"/>
        <v>1266.17</v>
      </c>
    </row>
    <row r="2374" spans="1:3" x14ac:dyDescent="0.25">
      <c r="A2374" s="15">
        <f t="shared" si="60"/>
        <v>46090</v>
      </c>
      <c r="B2374" s="72">
        <f t="shared" si="58"/>
        <v>0.32187500000000002</v>
      </c>
      <c r="C2374" s="157">
        <f t="shared" si="59"/>
        <v>1266.17</v>
      </c>
    </row>
    <row r="2375" spans="1:3" x14ac:dyDescent="0.25">
      <c r="A2375" s="15">
        <f t="shared" si="60"/>
        <v>46091</v>
      </c>
      <c r="B2375" s="72">
        <f t="shared" si="58"/>
        <v>0.32187500000000002</v>
      </c>
      <c r="C2375" s="157">
        <f t="shared" si="59"/>
        <v>1266.17</v>
      </c>
    </row>
    <row r="2376" spans="1:3" x14ac:dyDescent="0.25">
      <c r="A2376" s="15">
        <f t="shared" si="60"/>
        <v>46092</v>
      </c>
      <c r="B2376" s="72">
        <f t="shared" si="58"/>
        <v>0.32187500000000002</v>
      </c>
      <c r="C2376" s="157">
        <f t="shared" si="59"/>
        <v>1266.17</v>
      </c>
    </row>
    <row r="2377" spans="1:3" x14ac:dyDescent="0.25">
      <c r="A2377" s="15">
        <f t="shared" si="60"/>
        <v>46093</v>
      </c>
      <c r="B2377" s="72">
        <f t="shared" si="58"/>
        <v>0.32187500000000002</v>
      </c>
      <c r="C2377" s="157">
        <f t="shared" si="59"/>
        <v>1266.17</v>
      </c>
    </row>
    <row r="2378" spans="1:3" x14ac:dyDescent="0.25">
      <c r="A2378" s="15">
        <f t="shared" si="60"/>
        <v>46094</v>
      </c>
      <c r="B2378" s="72">
        <f t="shared" si="58"/>
        <v>0.32187500000000002</v>
      </c>
      <c r="C2378" s="157">
        <f t="shared" si="59"/>
        <v>1266.17</v>
      </c>
    </row>
    <row r="2379" spans="1:3" x14ac:dyDescent="0.25">
      <c r="A2379" s="15">
        <f t="shared" si="60"/>
        <v>46097</v>
      </c>
      <c r="B2379" s="72">
        <f t="shared" ref="B2379:B2442" si="61">+B2378</f>
        <v>0.32187500000000002</v>
      </c>
      <c r="C2379" s="157">
        <f t="shared" si="59"/>
        <v>1266.17</v>
      </c>
    </row>
    <row r="2380" spans="1:3" x14ac:dyDescent="0.25">
      <c r="A2380" s="15">
        <f t="shared" si="60"/>
        <v>46098</v>
      </c>
      <c r="B2380" s="72">
        <f t="shared" si="61"/>
        <v>0.32187500000000002</v>
      </c>
      <c r="C2380" s="157">
        <f t="shared" ref="C2380:C2443" si="62">+C2379</f>
        <v>1266.17</v>
      </c>
    </row>
    <row r="2381" spans="1:3" x14ac:dyDescent="0.25">
      <c r="A2381" s="15">
        <f t="shared" si="60"/>
        <v>46099</v>
      </c>
      <c r="B2381" s="72">
        <f t="shared" si="61"/>
        <v>0.32187500000000002</v>
      </c>
      <c r="C2381" s="157">
        <f t="shared" si="62"/>
        <v>1266.17</v>
      </c>
    </row>
    <row r="2382" spans="1:3" x14ac:dyDescent="0.25">
      <c r="A2382" s="15">
        <f t="shared" si="60"/>
        <v>46100</v>
      </c>
      <c r="B2382" s="72">
        <f t="shared" si="61"/>
        <v>0.32187500000000002</v>
      </c>
      <c r="C2382" s="157">
        <f t="shared" si="62"/>
        <v>1266.17</v>
      </c>
    </row>
    <row r="2383" spans="1:3" x14ac:dyDescent="0.25">
      <c r="A2383" s="15">
        <f t="shared" si="60"/>
        <v>46101</v>
      </c>
      <c r="B2383" s="72">
        <f t="shared" si="61"/>
        <v>0.32187500000000002</v>
      </c>
      <c r="C2383" s="157">
        <f t="shared" si="62"/>
        <v>1266.17</v>
      </c>
    </row>
    <row r="2384" spans="1:3" x14ac:dyDescent="0.25">
      <c r="A2384" s="15">
        <f t="shared" si="60"/>
        <v>46104</v>
      </c>
      <c r="B2384" s="72">
        <f t="shared" si="61"/>
        <v>0.32187500000000002</v>
      </c>
      <c r="C2384" s="157">
        <f t="shared" si="62"/>
        <v>1266.17</v>
      </c>
    </row>
    <row r="2385" spans="1:3" x14ac:dyDescent="0.25">
      <c r="A2385" s="15">
        <f t="shared" si="60"/>
        <v>46105</v>
      </c>
      <c r="B2385" s="72">
        <f t="shared" si="61"/>
        <v>0.32187500000000002</v>
      </c>
      <c r="C2385" s="157">
        <f t="shared" si="62"/>
        <v>1266.17</v>
      </c>
    </row>
    <row r="2386" spans="1:3" x14ac:dyDescent="0.25">
      <c r="A2386" s="15">
        <f t="shared" si="60"/>
        <v>46106</v>
      </c>
      <c r="B2386" s="72">
        <f t="shared" si="61"/>
        <v>0.32187500000000002</v>
      </c>
      <c r="C2386" s="157">
        <f t="shared" si="62"/>
        <v>1266.17</v>
      </c>
    </row>
    <row r="2387" spans="1:3" x14ac:dyDescent="0.25">
      <c r="A2387" s="15">
        <f t="shared" si="60"/>
        <v>46107</v>
      </c>
      <c r="B2387" s="72">
        <f t="shared" si="61"/>
        <v>0.32187500000000002</v>
      </c>
      <c r="C2387" s="157">
        <f t="shared" si="62"/>
        <v>1266.17</v>
      </c>
    </row>
    <row r="2388" spans="1:3" x14ac:dyDescent="0.25">
      <c r="A2388" s="15">
        <f t="shared" si="60"/>
        <v>46108</v>
      </c>
      <c r="B2388" s="72">
        <f t="shared" si="61"/>
        <v>0.32187500000000002</v>
      </c>
      <c r="C2388" s="157">
        <f t="shared" si="62"/>
        <v>1266.17</v>
      </c>
    </row>
    <row r="2389" spans="1:3" x14ac:dyDescent="0.25">
      <c r="A2389" s="15">
        <f t="shared" si="60"/>
        <v>46111</v>
      </c>
      <c r="B2389" s="72">
        <f t="shared" si="61"/>
        <v>0.32187500000000002</v>
      </c>
      <c r="C2389" s="157">
        <f t="shared" si="62"/>
        <v>1266.17</v>
      </c>
    </row>
    <row r="2390" spans="1:3" x14ac:dyDescent="0.25">
      <c r="A2390" s="15">
        <f t="shared" si="60"/>
        <v>46112</v>
      </c>
      <c r="B2390" s="72">
        <f t="shared" si="61"/>
        <v>0.32187500000000002</v>
      </c>
      <c r="C2390" s="157">
        <f t="shared" si="62"/>
        <v>1266.17</v>
      </c>
    </row>
    <row r="2391" spans="1:3" x14ac:dyDescent="0.25">
      <c r="A2391" s="15">
        <f t="shared" si="60"/>
        <v>46113</v>
      </c>
      <c r="B2391" s="72">
        <f t="shared" si="61"/>
        <v>0.32187500000000002</v>
      </c>
      <c r="C2391" s="157">
        <f t="shared" si="62"/>
        <v>1266.17</v>
      </c>
    </row>
    <row r="2392" spans="1:3" x14ac:dyDescent="0.25">
      <c r="A2392" s="15">
        <f t="shared" si="60"/>
        <v>46114</v>
      </c>
      <c r="B2392" s="72">
        <f t="shared" si="61"/>
        <v>0.32187500000000002</v>
      </c>
      <c r="C2392" s="157">
        <f t="shared" si="62"/>
        <v>1266.17</v>
      </c>
    </row>
    <row r="2393" spans="1:3" x14ac:dyDescent="0.25">
      <c r="A2393" s="15">
        <f t="shared" si="60"/>
        <v>46115</v>
      </c>
      <c r="B2393" s="72">
        <f t="shared" si="61"/>
        <v>0.32187500000000002</v>
      </c>
      <c r="C2393" s="157">
        <f t="shared" si="62"/>
        <v>1266.17</v>
      </c>
    </row>
    <row r="2394" spans="1:3" x14ac:dyDescent="0.25">
      <c r="A2394" s="15">
        <f t="shared" si="60"/>
        <v>46118</v>
      </c>
      <c r="B2394" s="72">
        <f t="shared" si="61"/>
        <v>0.32187500000000002</v>
      </c>
      <c r="C2394" s="157">
        <f t="shared" si="62"/>
        <v>1266.17</v>
      </c>
    </row>
    <row r="2395" spans="1:3" x14ac:dyDescent="0.25">
      <c r="A2395" s="15">
        <f t="shared" si="60"/>
        <v>46119</v>
      </c>
      <c r="B2395" s="72">
        <f t="shared" si="61"/>
        <v>0.32187500000000002</v>
      </c>
      <c r="C2395" s="157">
        <f t="shared" si="62"/>
        <v>1266.17</v>
      </c>
    </row>
    <row r="2396" spans="1:3" x14ac:dyDescent="0.25">
      <c r="A2396" s="15">
        <f t="shared" si="60"/>
        <v>46120</v>
      </c>
      <c r="B2396" s="72">
        <f t="shared" si="61"/>
        <v>0.32187500000000002</v>
      </c>
      <c r="C2396" s="157">
        <f t="shared" si="62"/>
        <v>1266.17</v>
      </c>
    </row>
    <row r="2397" spans="1:3" x14ac:dyDescent="0.25">
      <c r="A2397" s="15">
        <f t="shared" si="60"/>
        <v>46121</v>
      </c>
      <c r="B2397" s="72">
        <f t="shared" si="61"/>
        <v>0.32187500000000002</v>
      </c>
      <c r="C2397" s="157">
        <f t="shared" si="62"/>
        <v>1266.17</v>
      </c>
    </row>
    <row r="2398" spans="1:3" x14ac:dyDescent="0.25">
      <c r="A2398" s="15">
        <f t="shared" si="60"/>
        <v>46122</v>
      </c>
      <c r="B2398" s="72">
        <f t="shared" si="61"/>
        <v>0.32187500000000002</v>
      </c>
      <c r="C2398" s="157">
        <f t="shared" si="62"/>
        <v>1266.17</v>
      </c>
    </row>
    <row r="2399" spans="1:3" x14ac:dyDescent="0.25">
      <c r="A2399" s="15">
        <f t="shared" si="60"/>
        <v>46125</v>
      </c>
      <c r="B2399" s="72">
        <f t="shared" si="61"/>
        <v>0.32187500000000002</v>
      </c>
      <c r="C2399" s="157">
        <f t="shared" si="62"/>
        <v>1266.17</v>
      </c>
    </row>
    <row r="2400" spans="1:3" x14ac:dyDescent="0.25">
      <c r="A2400" s="15">
        <f t="shared" si="60"/>
        <v>46126</v>
      </c>
      <c r="B2400" s="72">
        <f t="shared" si="61"/>
        <v>0.32187500000000002</v>
      </c>
      <c r="C2400" s="157">
        <f t="shared" si="62"/>
        <v>1266.17</v>
      </c>
    </row>
    <row r="2401" spans="1:3" x14ac:dyDescent="0.25">
      <c r="A2401" s="15">
        <f t="shared" si="60"/>
        <v>46127</v>
      </c>
      <c r="B2401" s="72">
        <f t="shared" si="61"/>
        <v>0.32187500000000002</v>
      </c>
      <c r="C2401" s="157">
        <f t="shared" si="62"/>
        <v>1266.17</v>
      </c>
    </row>
    <row r="2402" spans="1:3" x14ac:dyDescent="0.25">
      <c r="A2402" s="15">
        <f t="shared" si="60"/>
        <v>46128</v>
      </c>
      <c r="B2402" s="72">
        <f t="shared" si="61"/>
        <v>0.32187500000000002</v>
      </c>
      <c r="C2402" s="157">
        <f t="shared" si="62"/>
        <v>1266.17</v>
      </c>
    </row>
    <row r="2403" spans="1:3" x14ac:dyDescent="0.25">
      <c r="A2403" s="15">
        <f t="shared" si="60"/>
        <v>46129</v>
      </c>
      <c r="B2403" s="72">
        <f t="shared" si="61"/>
        <v>0.32187500000000002</v>
      </c>
      <c r="C2403" s="157">
        <f t="shared" si="62"/>
        <v>1266.17</v>
      </c>
    </row>
    <row r="2404" spans="1:3" x14ac:dyDescent="0.25">
      <c r="A2404" s="15">
        <f t="shared" si="60"/>
        <v>46132</v>
      </c>
      <c r="B2404" s="72">
        <f t="shared" si="61"/>
        <v>0.32187500000000002</v>
      </c>
      <c r="C2404" s="157">
        <f t="shared" si="62"/>
        <v>1266.17</v>
      </c>
    </row>
    <row r="2405" spans="1:3" x14ac:dyDescent="0.25">
      <c r="A2405" s="15">
        <f t="shared" si="60"/>
        <v>46133</v>
      </c>
      <c r="B2405" s="72">
        <f t="shared" si="61"/>
        <v>0.32187500000000002</v>
      </c>
      <c r="C2405" s="157">
        <f t="shared" si="62"/>
        <v>1266.17</v>
      </c>
    </row>
    <row r="2406" spans="1:3" x14ac:dyDescent="0.25">
      <c r="A2406" s="15">
        <f t="shared" si="60"/>
        <v>46134</v>
      </c>
      <c r="B2406" s="72">
        <f t="shared" si="61"/>
        <v>0.32187500000000002</v>
      </c>
      <c r="C2406" s="157">
        <f t="shared" si="62"/>
        <v>1266.17</v>
      </c>
    </row>
    <row r="2407" spans="1:3" x14ac:dyDescent="0.25">
      <c r="A2407" s="15">
        <f t="shared" si="60"/>
        <v>46135</v>
      </c>
      <c r="B2407" s="72">
        <f t="shared" si="61"/>
        <v>0.32187500000000002</v>
      </c>
      <c r="C2407" s="157">
        <f t="shared" si="62"/>
        <v>1266.17</v>
      </c>
    </row>
    <row r="2408" spans="1:3" x14ac:dyDescent="0.25">
      <c r="A2408" s="15">
        <f t="shared" si="60"/>
        <v>46136</v>
      </c>
      <c r="B2408" s="72">
        <f t="shared" si="61"/>
        <v>0.32187500000000002</v>
      </c>
      <c r="C2408" s="157">
        <f t="shared" si="62"/>
        <v>1266.17</v>
      </c>
    </row>
    <row r="2409" spans="1:3" x14ac:dyDescent="0.25">
      <c r="A2409" s="15">
        <f t="shared" si="60"/>
        <v>46139</v>
      </c>
      <c r="B2409" s="72">
        <f t="shared" si="61"/>
        <v>0.32187500000000002</v>
      </c>
      <c r="C2409" s="157">
        <f t="shared" si="62"/>
        <v>1266.17</v>
      </c>
    </row>
    <row r="2410" spans="1:3" x14ac:dyDescent="0.25">
      <c r="A2410" s="15">
        <f t="shared" si="60"/>
        <v>46140</v>
      </c>
      <c r="B2410" s="72">
        <f t="shared" si="61"/>
        <v>0.32187500000000002</v>
      </c>
      <c r="C2410" s="157">
        <f t="shared" si="62"/>
        <v>1266.17</v>
      </c>
    </row>
    <row r="2411" spans="1:3" x14ac:dyDescent="0.25">
      <c r="A2411" s="15">
        <f t="shared" si="60"/>
        <v>46141</v>
      </c>
      <c r="B2411" s="72">
        <f t="shared" si="61"/>
        <v>0.32187500000000002</v>
      </c>
      <c r="C2411" s="157">
        <f t="shared" si="62"/>
        <v>1266.17</v>
      </c>
    </row>
    <row r="2412" spans="1:3" x14ac:dyDescent="0.25">
      <c r="A2412" s="15">
        <f t="shared" si="60"/>
        <v>46142</v>
      </c>
      <c r="B2412" s="72">
        <f t="shared" si="61"/>
        <v>0.32187500000000002</v>
      </c>
      <c r="C2412" s="157">
        <f t="shared" si="62"/>
        <v>1266.17</v>
      </c>
    </row>
    <row r="2413" spans="1:3" x14ac:dyDescent="0.25">
      <c r="A2413" s="15">
        <f t="shared" si="60"/>
        <v>46143</v>
      </c>
      <c r="B2413" s="72">
        <f t="shared" si="61"/>
        <v>0.32187500000000002</v>
      </c>
      <c r="C2413" s="157">
        <f t="shared" si="62"/>
        <v>1266.17</v>
      </c>
    </row>
    <row r="2414" spans="1:3" x14ac:dyDescent="0.25">
      <c r="A2414" s="15">
        <f t="shared" si="60"/>
        <v>46146</v>
      </c>
      <c r="B2414" s="72">
        <f t="shared" si="61"/>
        <v>0.32187500000000002</v>
      </c>
      <c r="C2414" s="157">
        <f t="shared" si="62"/>
        <v>1266.17</v>
      </c>
    </row>
    <row r="2415" spans="1:3" x14ac:dyDescent="0.25">
      <c r="A2415" s="15">
        <f t="shared" si="60"/>
        <v>46147</v>
      </c>
      <c r="B2415" s="72">
        <f t="shared" si="61"/>
        <v>0.32187500000000002</v>
      </c>
      <c r="C2415" s="157">
        <f t="shared" si="62"/>
        <v>1266.17</v>
      </c>
    </row>
    <row r="2416" spans="1:3" x14ac:dyDescent="0.25">
      <c r="A2416" s="15">
        <f t="shared" si="60"/>
        <v>46148</v>
      </c>
      <c r="B2416" s="72">
        <f t="shared" si="61"/>
        <v>0.32187500000000002</v>
      </c>
      <c r="C2416" s="157">
        <f t="shared" si="62"/>
        <v>1266.17</v>
      </c>
    </row>
    <row r="2417" spans="1:3" x14ac:dyDescent="0.25">
      <c r="A2417" s="15">
        <f t="shared" si="60"/>
        <v>46149</v>
      </c>
      <c r="B2417" s="72">
        <f t="shared" si="61"/>
        <v>0.32187500000000002</v>
      </c>
      <c r="C2417" s="157">
        <f t="shared" si="62"/>
        <v>1266.17</v>
      </c>
    </row>
    <row r="2418" spans="1:3" x14ac:dyDescent="0.25">
      <c r="A2418" s="15">
        <f t="shared" si="60"/>
        <v>46150</v>
      </c>
      <c r="B2418" s="72">
        <f t="shared" si="61"/>
        <v>0.32187500000000002</v>
      </c>
      <c r="C2418" s="157">
        <f t="shared" si="62"/>
        <v>1266.17</v>
      </c>
    </row>
    <row r="2419" spans="1:3" x14ac:dyDescent="0.25">
      <c r="A2419" s="15">
        <f t="shared" si="60"/>
        <v>46153</v>
      </c>
      <c r="B2419" s="72">
        <f t="shared" si="61"/>
        <v>0.32187500000000002</v>
      </c>
      <c r="C2419" s="157">
        <f t="shared" si="62"/>
        <v>1266.17</v>
      </c>
    </row>
    <row r="2420" spans="1:3" x14ac:dyDescent="0.25">
      <c r="A2420" s="15">
        <f t="shared" si="60"/>
        <v>46154</v>
      </c>
      <c r="B2420" s="72">
        <f t="shared" si="61"/>
        <v>0.32187500000000002</v>
      </c>
      <c r="C2420" s="157">
        <f t="shared" si="62"/>
        <v>1266.17</v>
      </c>
    </row>
    <row r="2421" spans="1:3" x14ac:dyDescent="0.25">
      <c r="A2421" s="15">
        <f t="shared" si="60"/>
        <v>46155</v>
      </c>
      <c r="B2421" s="72">
        <f t="shared" si="61"/>
        <v>0.32187500000000002</v>
      </c>
      <c r="C2421" s="157">
        <f t="shared" si="62"/>
        <v>1266.17</v>
      </c>
    </row>
    <row r="2422" spans="1:3" x14ac:dyDescent="0.25">
      <c r="A2422" s="15">
        <f t="shared" si="60"/>
        <v>46156</v>
      </c>
      <c r="B2422" s="72">
        <f t="shared" si="61"/>
        <v>0.32187500000000002</v>
      </c>
      <c r="C2422" s="157">
        <f t="shared" si="62"/>
        <v>1266.17</v>
      </c>
    </row>
    <row r="2423" spans="1:3" x14ac:dyDescent="0.25">
      <c r="A2423" s="15">
        <f t="shared" si="60"/>
        <v>46157</v>
      </c>
      <c r="B2423" s="72">
        <f t="shared" si="61"/>
        <v>0.32187500000000002</v>
      </c>
      <c r="C2423" s="157">
        <f t="shared" si="62"/>
        <v>1266.17</v>
      </c>
    </row>
    <row r="2424" spans="1:3" x14ac:dyDescent="0.25">
      <c r="A2424" s="15">
        <f t="shared" si="60"/>
        <v>46160</v>
      </c>
      <c r="B2424" s="72">
        <f t="shared" si="61"/>
        <v>0.32187500000000002</v>
      </c>
      <c r="C2424" s="157">
        <f t="shared" si="62"/>
        <v>1266.17</v>
      </c>
    </row>
    <row r="2425" spans="1:3" x14ac:dyDescent="0.25">
      <c r="A2425" s="15">
        <f t="shared" si="60"/>
        <v>46161</v>
      </c>
      <c r="B2425" s="72">
        <f t="shared" si="61"/>
        <v>0.32187500000000002</v>
      </c>
      <c r="C2425" s="157">
        <f t="shared" si="62"/>
        <v>1266.17</v>
      </c>
    </row>
    <row r="2426" spans="1:3" x14ac:dyDescent="0.25">
      <c r="A2426" s="15">
        <f t="shared" si="60"/>
        <v>46162</v>
      </c>
      <c r="B2426" s="72">
        <f t="shared" si="61"/>
        <v>0.32187500000000002</v>
      </c>
      <c r="C2426" s="157">
        <f t="shared" si="62"/>
        <v>1266.17</v>
      </c>
    </row>
    <row r="2427" spans="1:3" x14ac:dyDescent="0.25">
      <c r="A2427" s="15">
        <f t="shared" si="60"/>
        <v>46163</v>
      </c>
      <c r="B2427" s="72">
        <f t="shared" si="61"/>
        <v>0.32187500000000002</v>
      </c>
      <c r="C2427" s="157">
        <f t="shared" si="62"/>
        <v>1266.17</v>
      </c>
    </row>
    <row r="2428" spans="1:3" x14ac:dyDescent="0.25">
      <c r="A2428" s="15">
        <f t="shared" ref="A2428:A2456" si="63">+WORKDAY.INTL(A2427,1,1,)</f>
        <v>46164</v>
      </c>
      <c r="B2428" s="72">
        <f t="shared" si="61"/>
        <v>0.32187500000000002</v>
      </c>
      <c r="C2428" s="157">
        <f t="shared" si="62"/>
        <v>1266.17</v>
      </c>
    </row>
    <row r="2429" spans="1:3" x14ac:dyDescent="0.25">
      <c r="A2429" s="15">
        <f t="shared" si="63"/>
        <v>46167</v>
      </c>
      <c r="B2429" s="72">
        <f t="shared" si="61"/>
        <v>0.32187500000000002</v>
      </c>
      <c r="C2429" s="157">
        <f t="shared" si="62"/>
        <v>1266.17</v>
      </c>
    </row>
    <row r="2430" spans="1:3" x14ac:dyDescent="0.25">
      <c r="A2430" s="15">
        <f t="shared" si="63"/>
        <v>46168</v>
      </c>
      <c r="B2430" s="72">
        <f t="shared" si="61"/>
        <v>0.32187500000000002</v>
      </c>
      <c r="C2430" s="157">
        <f t="shared" si="62"/>
        <v>1266.17</v>
      </c>
    </row>
    <row r="2431" spans="1:3" x14ac:dyDescent="0.25">
      <c r="A2431" s="15">
        <f t="shared" si="63"/>
        <v>46169</v>
      </c>
      <c r="B2431" s="72">
        <f t="shared" si="61"/>
        <v>0.32187500000000002</v>
      </c>
      <c r="C2431" s="157">
        <f t="shared" si="62"/>
        <v>1266.17</v>
      </c>
    </row>
    <row r="2432" spans="1:3" x14ac:dyDescent="0.25">
      <c r="A2432" s="15">
        <f t="shared" si="63"/>
        <v>46170</v>
      </c>
      <c r="B2432" s="72">
        <f t="shared" si="61"/>
        <v>0.32187500000000002</v>
      </c>
      <c r="C2432" s="157">
        <f t="shared" si="62"/>
        <v>1266.17</v>
      </c>
    </row>
    <row r="2433" spans="1:3" x14ac:dyDescent="0.25">
      <c r="A2433" s="15">
        <f t="shared" si="63"/>
        <v>46171</v>
      </c>
      <c r="B2433" s="72">
        <f t="shared" si="61"/>
        <v>0.32187500000000002</v>
      </c>
      <c r="C2433" s="157">
        <f t="shared" si="62"/>
        <v>1266.17</v>
      </c>
    </row>
    <row r="2434" spans="1:3" x14ac:dyDescent="0.25">
      <c r="A2434" s="15">
        <f t="shared" si="63"/>
        <v>46174</v>
      </c>
      <c r="B2434" s="72">
        <f t="shared" si="61"/>
        <v>0.32187500000000002</v>
      </c>
      <c r="C2434" s="157">
        <f t="shared" si="62"/>
        <v>1266.17</v>
      </c>
    </row>
    <row r="2435" spans="1:3" x14ac:dyDescent="0.25">
      <c r="A2435" s="15">
        <f t="shared" si="63"/>
        <v>46175</v>
      </c>
      <c r="B2435" s="72">
        <f t="shared" si="61"/>
        <v>0.32187500000000002</v>
      </c>
      <c r="C2435" s="157">
        <f t="shared" si="62"/>
        <v>1266.17</v>
      </c>
    </row>
    <row r="2436" spans="1:3" x14ac:dyDescent="0.25">
      <c r="A2436" s="15">
        <f t="shared" si="63"/>
        <v>46176</v>
      </c>
      <c r="B2436" s="72">
        <f t="shared" si="61"/>
        <v>0.32187500000000002</v>
      </c>
      <c r="C2436" s="157">
        <f t="shared" si="62"/>
        <v>1266.17</v>
      </c>
    </row>
    <row r="2437" spans="1:3" x14ac:dyDescent="0.25">
      <c r="A2437" s="15">
        <f t="shared" si="63"/>
        <v>46177</v>
      </c>
      <c r="B2437" s="72">
        <f t="shared" si="61"/>
        <v>0.32187500000000002</v>
      </c>
      <c r="C2437" s="157">
        <f t="shared" si="62"/>
        <v>1266.17</v>
      </c>
    </row>
    <row r="2438" spans="1:3" x14ac:dyDescent="0.25">
      <c r="A2438" s="15">
        <f t="shared" si="63"/>
        <v>46178</v>
      </c>
      <c r="B2438" s="72">
        <f t="shared" si="61"/>
        <v>0.32187500000000002</v>
      </c>
      <c r="C2438" s="157">
        <f t="shared" si="62"/>
        <v>1266.17</v>
      </c>
    </row>
    <row r="2439" spans="1:3" x14ac:dyDescent="0.25">
      <c r="A2439" s="15">
        <f t="shared" si="63"/>
        <v>46181</v>
      </c>
      <c r="B2439" s="72">
        <f t="shared" si="61"/>
        <v>0.32187500000000002</v>
      </c>
      <c r="C2439" s="157">
        <f t="shared" si="62"/>
        <v>1266.17</v>
      </c>
    </row>
    <row r="2440" spans="1:3" x14ac:dyDescent="0.25">
      <c r="A2440" s="15">
        <f t="shared" si="63"/>
        <v>46182</v>
      </c>
      <c r="B2440" s="72">
        <f t="shared" si="61"/>
        <v>0.32187500000000002</v>
      </c>
      <c r="C2440" s="157">
        <f t="shared" si="62"/>
        <v>1266.17</v>
      </c>
    </row>
    <row r="2441" spans="1:3" x14ac:dyDescent="0.25">
      <c r="A2441" s="15">
        <f t="shared" si="63"/>
        <v>46183</v>
      </c>
      <c r="B2441" s="72">
        <f t="shared" si="61"/>
        <v>0.32187500000000002</v>
      </c>
      <c r="C2441" s="157">
        <f t="shared" si="62"/>
        <v>1266.17</v>
      </c>
    </row>
    <row r="2442" spans="1:3" x14ac:dyDescent="0.25">
      <c r="A2442" s="15">
        <f t="shared" si="63"/>
        <v>46184</v>
      </c>
      <c r="B2442" s="72">
        <f t="shared" si="61"/>
        <v>0.32187500000000002</v>
      </c>
      <c r="C2442" s="157">
        <f t="shared" si="62"/>
        <v>1266.17</v>
      </c>
    </row>
    <row r="2443" spans="1:3" x14ac:dyDescent="0.25">
      <c r="A2443" s="15">
        <f t="shared" si="63"/>
        <v>46185</v>
      </c>
      <c r="B2443" s="72">
        <f t="shared" ref="B2443:B2456" si="64">+B2442</f>
        <v>0.32187500000000002</v>
      </c>
      <c r="C2443" s="157">
        <f t="shared" si="62"/>
        <v>1266.17</v>
      </c>
    </row>
    <row r="2444" spans="1:3" x14ac:dyDescent="0.25">
      <c r="A2444" s="15">
        <f t="shared" si="63"/>
        <v>46188</v>
      </c>
      <c r="B2444" s="72">
        <f t="shared" si="64"/>
        <v>0.32187500000000002</v>
      </c>
      <c r="C2444" s="157">
        <f t="shared" ref="C2444:C2456" si="65">+C2443</f>
        <v>1266.17</v>
      </c>
    </row>
    <row r="2445" spans="1:3" x14ac:dyDescent="0.25">
      <c r="A2445" s="15">
        <f t="shared" si="63"/>
        <v>46189</v>
      </c>
      <c r="B2445" s="72">
        <f t="shared" si="64"/>
        <v>0.32187500000000002</v>
      </c>
      <c r="C2445" s="157">
        <f t="shared" si="65"/>
        <v>1266.17</v>
      </c>
    </row>
    <row r="2446" spans="1:3" x14ac:dyDescent="0.25">
      <c r="A2446" s="15">
        <f t="shared" si="63"/>
        <v>46190</v>
      </c>
      <c r="B2446" s="72">
        <f t="shared" si="64"/>
        <v>0.32187500000000002</v>
      </c>
      <c r="C2446" s="157">
        <f t="shared" si="65"/>
        <v>1266.17</v>
      </c>
    </row>
    <row r="2447" spans="1:3" x14ac:dyDescent="0.25">
      <c r="A2447" s="15">
        <f t="shared" si="63"/>
        <v>46191</v>
      </c>
      <c r="B2447" s="72">
        <f t="shared" si="64"/>
        <v>0.32187500000000002</v>
      </c>
      <c r="C2447" s="157">
        <f t="shared" si="65"/>
        <v>1266.17</v>
      </c>
    </row>
    <row r="2448" spans="1:3" x14ac:dyDescent="0.25">
      <c r="A2448" s="15">
        <f t="shared" si="63"/>
        <v>46192</v>
      </c>
      <c r="B2448" s="72">
        <f t="shared" si="64"/>
        <v>0.32187500000000002</v>
      </c>
      <c r="C2448" s="157">
        <f t="shared" si="65"/>
        <v>1266.17</v>
      </c>
    </row>
    <row r="2449" spans="1:3" x14ac:dyDescent="0.25">
      <c r="A2449" s="15">
        <f t="shared" si="63"/>
        <v>46195</v>
      </c>
      <c r="B2449" s="72">
        <f t="shared" si="64"/>
        <v>0.32187500000000002</v>
      </c>
      <c r="C2449" s="157">
        <f t="shared" si="65"/>
        <v>1266.17</v>
      </c>
    </row>
    <row r="2450" spans="1:3" x14ac:dyDescent="0.25">
      <c r="A2450" s="15">
        <f t="shared" si="63"/>
        <v>46196</v>
      </c>
      <c r="B2450" s="72">
        <f t="shared" si="64"/>
        <v>0.32187500000000002</v>
      </c>
      <c r="C2450" s="157">
        <f t="shared" si="65"/>
        <v>1266.17</v>
      </c>
    </row>
    <row r="2451" spans="1:3" x14ac:dyDescent="0.25">
      <c r="A2451" s="15">
        <f t="shared" si="63"/>
        <v>46197</v>
      </c>
      <c r="B2451" s="72">
        <f t="shared" si="64"/>
        <v>0.32187500000000002</v>
      </c>
      <c r="C2451" s="157">
        <f t="shared" si="65"/>
        <v>1266.17</v>
      </c>
    </row>
    <row r="2452" spans="1:3" x14ac:dyDescent="0.25">
      <c r="A2452" s="15">
        <f t="shared" si="63"/>
        <v>46198</v>
      </c>
      <c r="B2452" s="72">
        <f t="shared" si="64"/>
        <v>0.32187500000000002</v>
      </c>
      <c r="C2452" s="157">
        <f t="shared" si="65"/>
        <v>1266.17</v>
      </c>
    </row>
    <row r="2453" spans="1:3" x14ac:dyDescent="0.25">
      <c r="A2453" s="15">
        <f t="shared" si="63"/>
        <v>46199</v>
      </c>
      <c r="B2453" s="72">
        <f t="shared" si="64"/>
        <v>0.32187500000000002</v>
      </c>
      <c r="C2453" s="157">
        <f t="shared" si="65"/>
        <v>1266.17</v>
      </c>
    </row>
    <row r="2454" spans="1:3" x14ac:dyDescent="0.25">
      <c r="A2454" s="15">
        <f t="shared" si="63"/>
        <v>46202</v>
      </c>
      <c r="B2454" s="72">
        <f t="shared" si="64"/>
        <v>0.32187500000000002</v>
      </c>
      <c r="C2454" s="157">
        <f t="shared" si="65"/>
        <v>1266.17</v>
      </c>
    </row>
    <row r="2455" spans="1:3" x14ac:dyDescent="0.25">
      <c r="A2455" s="15">
        <f t="shared" si="63"/>
        <v>46203</v>
      </c>
      <c r="B2455" s="72">
        <f t="shared" si="64"/>
        <v>0.32187500000000002</v>
      </c>
      <c r="C2455" s="157">
        <f t="shared" si="65"/>
        <v>1266.17</v>
      </c>
    </row>
    <row r="2456" spans="1:3" x14ac:dyDescent="0.25">
      <c r="A2456" s="15">
        <f t="shared" si="63"/>
        <v>46204</v>
      </c>
      <c r="B2456" s="72">
        <f t="shared" si="64"/>
        <v>0.32187500000000002</v>
      </c>
      <c r="C2456" s="157">
        <f t="shared" si="65"/>
        <v>1266.17</v>
      </c>
    </row>
    <row r="2457" spans="1:3" x14ac:dyDescent="0.25">
      <c r="A2457" s="15"/>
    </row>
    <row r="2458" spans="1:3" x14ac:dyDescent="0.25">
      <c r="A2458" s="15"/>
    </row>
    <row r="2459" spans="1:3" x14ac:dyDescent="0.25">
      <c r="A2459" s="15"/>
    </row>
    <row r="2460" spans="1:3" x14ac:dyDescent="0.25">
      <c r="A2460" s="15"/>
    </row>
  </sheetData>
  <mergeCells count="2">
    <mergeCell ref="F2:H2"/>
    <mergeCell ref="A7:A8"/>
  </mergeCells>
  <conditionalFormatting sqref="B840:B1151">
    <cfRule type="cellIs" dxfId="2" priority="2" operator="equal">
      <formula>B839</formula>
    </cfRule>
  </conditionalFormatting>
  <conditionalFormatting sqref="B1153:B1822 B1824:B1827 B1829:B1831 B1833:B1837 B1839:B1843">
    <cfRule type="cellIs" dxfId="1" priority="7" operator="equal">
      <formula>B1152</formula>
    </cfRule>
  </conditionalFormatting>
  <conditionalFormatting sqref="C839:C1807 C1809:C1813 C1815:C1823 C1825:C1828 C1830:C1832 C1834:C1838 C1840:C1843 B1845:C1848 B1850:C1853 B1855:C1858 B1860:C1863 B1865:C1871 B1873:C1873 B1875:C1883 B1885:C1893 B1895:C1898 B1900:C1903 B1905:C1907 C1908 B1909 B1910:C1912 C1913 B1914 B1915:C1921 C1922 B1923 B1924:C1930 C1931 B1932 C1933 B1934 B1935:C1937 C1938 B1939 B1940:C1947 C1948 B1949 B1950:C1958 B1960:C1961 C1962 B1963 B1964:C1968 B1970:C1999 B2001:C2003 B2005:C2012 C2013 B2014:C2025 B2027:C2034 B2036:C2048 B2050:C2058 C2059 B2060:C2069 B2071:C2072 C2073 B2074 B2075:C2083 B2085:C2088 C2089 B2090:C2093 B2095:C2103 B2105:C2143 B2145:C2158 C2159 B2160:C2188 B2190:C2456">
    <cfRule type="cellIs" dxfId="0" priority="3" operator="equal">
      <formula>B838</formula>
    </cfRule>
  </conditionalFormatting>
  <hyperlinks>
    <hyperlink ref="F7" r:id="rId1" xr:uid="{00000000-0004-0000-0900-000000000000}"/>
    <hyperlink ref="E2211" r:id="rId2" xr:uid="{00000000-0004-0000-0900-000001000000}"/>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N121"/>
  <sheetViews>
    <sheetView workbookViewId="0"/>
  </sheetViews>
  <sheetFormatPr baseColWidth="10" defaultRowHeight="15" x14ac:dyDescent="0.25"/>
  <cols>
    <col min="1" max="2" width="2.7109375" style="201" customWidth="1"/>
    <col min="3" max="3" width="29.7109375" style="201" customWidth="1"/>
    <col min="4" max="4" width="24.28515625" style="201" bestFit="1" customWidth="1"/>
    <col min="5" max="6" width="13.7109375" style="201" customWidth="1"/>
    <col min="7" max="8" width="15.7109375" style="201" customWidth="1"/>
    <col min="9" max="13" width="18.7109375" style="201" customWidth="1"/>
    <col min="14" max="15" width="2.7109375" style="201" customWidth="1"/>
    <col min="16" max="16384" width="11.42578125" style="201"/>
  </cols>
  <sheetData>
    <row r="1" spans="1:14" s="22" customFormat="1" ht="18" customHeight="1" x14ac:dyDescent="0.25">
      <c r="A1" s="201"/>
      <c r="B1" s="19"/>
      <c r="C1" s="20"/>
      <c r="D1" s="20"/>
      <c r="E1" s="20"/>
      <c r="F1" s="20"/>
      <c r="G1" s="20"/>
      <c r="H1" s="20"/>
      <c r="I1" s="20"/>
      <c r="J1" s="20"/>
      <c r="K1" s="20"/>
      <c r="L1" s="20"/>
      <c r="M1" s="20"/>
      <c r="N1" s="21"/>
    </row>
    <row r="2" spans="1:14" s="22" customFormat="1" ht="18" customHeight="1" x14ac:dyDescent="0.25">
      <c r="A2" s="201"/>
      <c r="B2" s="23"/>
      <c r="C2" s="24"/>
      <c r="D2" s="24"/>
      <c r="E2" s="24"/>
      <c r="F2" s="24"/>
      <c r="G2" s="24"/>
      <c r="H2" s="24"/>
      <c r="I2" s="24"/>
      <c r="J2" s="24"/>
      <c r="K2" s="672" t="s">
        <v>1</v>
      </c>
      <c r="L2" s="673"/>
      <c r="M2" s="674"/>
      <c r="N2" s="25"/>
    </row>
    <row r="3" spans="1:14" s="22" customFormat="1" ht="18" customHeight="1" x14ac:dyDescent="0.25">
      <c r="A3" s="201"/>
      <c r="B3" s="23"/>
      <c r="C3" s="24"/>
      <c r="D3" s="24"/>
      <c r="E3" s="24"/>
      <c r="F3" s="24"/>
      <c r="G3" s="24"/>
      <c r="H3" s="24"/>
      <c r="I3" s="24"/>
      <c r="J3" s="24"/>
      <c r="K3" s="24"/>
      <c r="L3" s="24"/>
      <c r="M3" s="24"/>
      <c r="N3" s="25"/>
    </row>
    <row r="4" spans="1:14" s="22" customFormat="1" ht="18" customHeight="1" x14ac:dyDescent="0.25">
      <c r="A4" s="201"/>
      <c r="B4" s="23"/>
      <c r="C4" s="24"/>
      <c r="D4" s="24"/>
      <c r="E4" s="24"/>
      <c r="F4" s="24"/>
      <c r="G4" s="24"/>
      <c r="H4" s="24"/>
      <c r="I4" s="24"/>
      <c r="J4" s="24"/>
      <c r="K4" s="24"/>
      <c r="L4" s="123" t="s">
        <v>0</v>
      </c>
      <c r="M4" s="80">
        <f>+Reporte!N6</f>
        <v>45861</v>
      </c>
      <c r="N4" s="25"/>
    </row>
    <row r="5" spans="1:14" s="22" customFormat="1" ht="18" customHeight="1" x14ac:dyDescent="0.25">
      <c r="A5" s="201"/>
      <c r="B5" s="26"/>
      <c r="C5" s="27"/>
      <c r="D5" s="27"/>
      <c r="E5" s="27"/>
      <c r="F5" s="27"/>
      <c r="G5" s="27"/>
      <c r="H5" s="27"/>
      <c r="I5" s="27"/>
      <c r="J5" s="27"/>
      <c r="K5" s="27"/>
      <c r="L5" s="27"/>
      <c r="M5" s="27"/>
      <c r="N5" s="28"/>
    </row>
    <row r="6" spans="1:14" ht="9.9499999999999993" customHeight="1" x14ac:dyDescent="0.25">
      <c r="B6" s="202"/>
      <c r="D6" s="205"/>
      <c r="E6" s="205"/>
      <c r="F6" s="205"/>
      <c r="G6" s="205"/>
      <c r="H6" s="205"/>
      <c r="I6" s="205"/>
      <c r="J6" s="205"/>
      <c r="K6" s="205"/>
      <c r="L6" s="205"/>
      <c r="M6" s="205"/>
      <c r="N6" s="204"/>
    </row>
    <row r="7" spans="1:14" ht="20.100000000000001" customHeight="1" x14ac:dyDescent="0.25">
      <c r="B7" s="202"/>
      <c r="C7" s="206" t="s">
        <v>18</v>
      </c>
      <c r="D7" s="203" t="s">
        <v>8</v>
      </c>
      <c r="E7" s="203" t="s">
        <v>270</v>
      </c>
      <c r="F7" s="203" t="s">
        <v>29</v>
      </c>
      <c r="G7" s="203" t="s">
        <v>271</v>
      </c>
      <c r="H7" s="203" t="s">
        <v>28</v>
      </c>
      <c r="I7" s="203" t="s">
        <v>332</v>
      </c>
      <c r="J7" s="203" t="s">
        <v>333</v>
      </c>
      <c r="K7" s="203" t="s">
        <v>334</v>
      </c>
      <c r="L7" s="203" t="s">
        <v>335</v>
      </c>
      <c r="M7" s="203" t="s">
        <v>336</v>
      </c>
      <c r="N7" s="204"/>
    </row>
    <row r="8" spans="1:14" x14ac:dyDescent="0.25">
      <c r="B8" s="202"/>
      <c r="C8" s="201" t="s">
        <v>15</v>
      </c>
      <c r="D8" s="201" t="s">
        <v>17</v>
      </c>
      <c r="E8" s="207">
        <v>43382</v>
      </c>
      <c r="F8" s="207">
        <v>44478</v>
      </c>
      <c r="G8" s="208">
        <v>5900000</v>
      </c>
      <c r="H8" s="208"/>
      <c r="I8" s="280"/>
      <c r="J8" s="280"/>
      <c r="K8" s="280"/>
      <c r="L8" s="280"/>
      <c r="M8" s="280"/>
      <c r="N8" s="204"/>
    </row>
    <row r="9" spans="1:14" ht="15.95" customHeight="1" x14ac:dyDescent="0.25">
      <c r="B9" s="202"/>
      <c r="C9" s="201" t="s">
        <v>53</v>
      </c>
      <c r="D9" s="201" t="s">
        <v>17</v>
      </c>
      <c r="E9" s="207">
        <v>43468</v>
      </c>
      <c r="F9" s="207">
        <v>44199</v>
      </c>
      <c r="G9" s="208">
        <v>7200000</v>
      </c>
      <c r="H9" s="208"/>
      <c r="I9" s="280"/>
      <c r="J9" s="280"/>
      <c r="K9" s="280"/>
      <c r="L9" s="280"/>
      <c r="M9" s="280"/>
      <c r="N9" s="204"/>
    </row>
    <row r="10" spans="1:14" x14ac:dyDescent="0.25">
      <c r="B10" s="202"/>
      <c r="C10" s="432" t="s">
        <v>356</v>
      </c>
      <c r="D10" s="201" t="s">
        <v>17</v>
      </c>
      <c r="E10" s="387">
        <v>44469</v>
      </c>
      <c r="F10" s="387">
        <v>45199</v>
      </c>
      <c r="G10" s="388">
        <v>10000000</v>
      </c>
      <c r="H10" s="389"/>
      <c r="I10" s="390"/>
      <c r="J10" s="390"/>
      <c r="K10" s="390"/>
      <c r="L10" s="390"/>
      <c r="M10" s="390"/>
      <c r="N10" s="204"/>
    </row>
    <row r="11" spans="1:14" x14ac:dyDescent="0.25">
      <c r="B11" s="202"/>
      <c r="C11" s="201" t="s">
        <v>376</v>
      </c>
      <c r="D11" s="201" t="s">
        <v>17</v>
      </c>
      <c r="E11" s="207">
        <v>44740</v>
      </c>
      <c r="F11" s="207">
        <v>45471</v>
      </c>
      <c r="G11" s="208">
        <v>30000000</v>
      </c>
      <c r="H11" s="431"/>
      <c r="I11" s="280"/>
      <c r="J11" s="280"/>
      <c r="K11" s="280"/>
      <c r="L11" s="280"/>
      <c r="M11" s="280"/>
      <c r="N11" s="204"/>
    </row>
    <row r="12" spans="1:14" x14ac:dyDescent="0.25">
      <c r="B12" s="202"/>
      <c r="C12" s="201" t="s">
        <v>388</v>
      </c>
      <c r="D12" s="201" t="s">
        <v>17</v>
      </c>
      <c r="E12" s="207">
        <v>44495</v>
      </c>
      <c r="F12" s="207">
        <v>45408</v>
      </c>
      <c r="G12" s="208">
        <v>29000000</v>
      </c>
      <c r="H12" s="431"/>
      <c r="I12" s="280"/>
      <c r="J12" s="280"/>
      <c r="K12" s="280"/>
      <c r="L12" s="280"/>
      <c r="M12" s="280"/>
      <c r="N12" s="204"/>
    </row>
    <row r="13" spans="1:14" x14ac:dyDescent="0.25">
      <c r="B13" s="202"/>
      <c r="C13" s="201" t="s">
        <v>56</v>
      </c>
      <c r="D13" s="201" t="s">
        <v>17</v>
      </c>
      <c r="E13" s="207">
        <v>43311</v>
      </c>
      <c r="F13" s="207">
        <v>44407</v>
      </c>
      <c r="G13" s="208">
        <v>33000000</v>
      </c>
      <c r="H13" s="208"/>
      <c r="I13" s="280"/>
      <c r="J13" s="280"/>
      <c r="K13" s="280"/>
      <c r="L13" s="280"/>
      <c r="M13" s="280"/>
      <c r="N13" s="204"/>
    </row>
    <row r="14" spans="1:14" x14ac:dyDescent="0.25">
      <c r="B14" s="202"/>
      <c r="C14" s="201" t="s">
        <v>367</v>
      </c>
      <c r="D14" s="201" t="s">
        <v>17</v>
      </c>
      <c r="E14" s="207">
        <v>44651</v>
      </c>
      <c r="F14" s="207">
        <v>45747</v>
      </c>
      <c r="G14" s="208">
        <v>22000000</v>
      </c>
      <c r="H14" s="431"/>
      <c r="I14" s="280"/>
      <c r="J14" s="280"/>
      <c r="K14" s="280"/>
      <c r="L14" s="280"/>
      <c r="M14" s="280"/>
      <c r="N14" s="204"/>
    </row>
    <row r="15" spans="1:14" x14ac:dyDescent="0.25">
      <c r="B15" s="202"/>
      <c r="C15" s="201" t="s">
        <v>77</v>
      </c>
      <c r="D15" s="201" t="s">
        <v>17</v>
      </c>
      <c r="E15" s="207">
        <v>43354</v>
      </c>
      <c r="F15" s="207">
        <v>44450</v>
      </c>
      <c r="G15" s="208">
        <v>3000000</v>
      </c>
      <c r="H15" s="208"/>
      <c r="I15" s="280"/>
      <c r="J15" s="280"/>
      <c r="K15" s="280"/>
      <c r="L15" s="280"/>
      <c r="M15" s="280"/>
      <c r="N15" s="204"/>
    </row>
    <row r="16" spans="1:14" x14ac:dyDescent="0.25">
      <c r="B16" s="202"/>
      <c r="C16" s="201" t="s">
        <v>82</v>
      </c>
      <c r="D16" s="201" t="s">
        <v>17</v>
      </c>
      <c r="E16" s="207">
        <v>43585</v>
      </c>
      <c r="F16" s="207">
        <v>44681</v>
      </c>
      <c r="G16" s="208">
        <v>30000000</v>
      </c>
      <c r="H16" s="208"/>
      <c r="I16" s="280"/>
      <c r="J16" s="280"/>
      <c r="K16" s="280"/>
      <c r="L16" s="280"/>
      <c r="M16" s="280"/>
      <c r="N16" s="204"/>
    </row>
    <row r="17" spans="2:14" x14ac:dyDescent="0.25">
      <c r="B17" s="202"/>
      <c r="C17" s="201" t="s">
        <v>84</v>
      </c>
      <c r="D17" s="201" t="s">
        <v>17</v>
      </c>
      <c r="E17" s="207">
        <v>43518</v>
      </c>
      <c r="F17" s="207">
        <v>44614</v>
      </c>
      <c r="G17" s="208">
        <v>15000000</v>
      </c>
      <c r="H17" s="208"/>
      <c r="I17" s="280"/>
      <c r="J17" s="280"/>
      <c r="K17" s="280"/>
      <c r="L17" s="280"/>
      <c r="M17" s="280"/>
      <c r="N17" s="204"/>
    </row>
    <row r="18" spans="2:14" x14ac:dyDescent="0.25">
      <c r="B18" s="202"/>
      <c r="C18" s="201" t="s">
        <v>96</v>
      </c>
      <c r="D18" s="201" t="s">
        <v>17</v>
      </c>
      <c r="E18" s="207">
        <v>43412</v>
      </c>
      <c r="F18" s="207">
        <v>44508</v>
      </c>
      <c r="G18" s="208">
        <v>4000000</v>
      </c>
      <c r="H18" s="208"/>
      <c r="I18" s="280"/>
      <c r="J18" s="280"/>
      <c r="K18" s="280"/>
      <c r="L18" s="280"/>
      <c r="M18" s="280"/>
      <c r="N18" s="204"/>
    </row>
    <row r="19" spans="2:14" x14ac:dyDescent="0.25">
      <c r="B19" s="202"/>
      <c r="C19" s="201" t="s">
        <v>85</v>
      </c>
      <c r="D19" s="201" t="s">
        <v>17</v>
      </c>
      <c r="E19" s="207">
        <v>43685</v>
      </c>
      <c r="F19" s="207">
        <v>44416</v>
      </c>
      <c r="G19" s="208">
        <v>21600000</v>
      </c>
      <c r="H19" s="208"/>
      <c r="I19" s="280"/>
      <c r="J19" s="280"/>
      <c r="K19" s="280"/>
      <c r="L19" s="280"/>
      <c r="M19" s="280"/>
      <c r="N19" s="204"/>
    </row>
    <row r="20" spans="2:14" x14ac:dyDescent="0.25">
      <c r="B20" s="202"/>
      <c r="C20" s="201" t="s">
        <v>99</v>
      </c>
      <c r="D20" s="201" t="s">
        <v>17</v>
      </c>
      <c r="E20" s="207">
        <v>43206</v>
      </c>
      <c r="F20" s="207">
        <v>43937</v>
      </c>
      <c r="G20" s="208">
        <v>5000000</v>
      </c>
      <c r="H20" s="208"/>
      <c r="I20" s="280"/>
      <c r="J20" s="280"/>
      <c r="K20" s="280"/>
      <c r="L20" s="280"/>
      <c r="M20" s="280"/>
      <c r="N20" s="204"/>
    </row>
    <row r="21" spans="2:14" x14ac:dyDescent="0.25">
      <c r="B21" s="202"/>
      <c r="C21" s="201" t="s">
        <v>101</v>
      </c>
      <c r="D21" s="201" t="s">
        <v>17</v>
      </c>
      <c r="E21" s="207">
        <v>43553</v>
      </c>
      <c r="F21" s="207">
        <v>44011</v>
      </c>
      <c r="G21" s="208">
        <v>1000000</v>
      </c>
      <c r="H21" s="208"/>
      <c r="I21" s="280"/>
      <c r="J21" s="280"/>
      <c r="K21" s="280"/>
      <c r="L21" s="280"/>
      <c r="M21" s="280"/>
      <c r="N21" s="204"/>
    </row>
    <row r="22" spans="2:14" x14ac:dyDescent="0.25">
      <c r="B22" s="202"/>
      <c r="C22" s="201" t="s">
        <v>103</v>
      </c>
      <c r="D22" s="201" t="s">
        <v>17</v>
      </c>
      <c r="E22" s="207">
        <v>43279</v>
      </c>
      <c r="F22" s="207">
        <v>44375</v>
      </c>
      <c r="G22" s="208">
        <v>5000000</v>
      </c>
      <c r="H22" s="208"/>
      <c r="I22" s="280"/>
      <c r="J22" s="280"/>
      <c r="K22" s="280"/>
      <c r="L22" s="280"/>
      <c r="M22" s="280"/>
      <c r="N22" s="204"/>
    </row>
    <row r="23" spans="2:14" x14ac:dyDescent="0.25">
      <c r="B23" s="202"/>
      <c r="C23" s="201" t="s">
        <v>390</v>
      </c>
      <c r="D23" s="201" t="s">
        <v>17</v>
      </c>
      <c r="E23" s="207">
        <v>44487</v>
      </c>
      <c r="F23" s="207">
        <v>45217</v>
      </c>
      <c r="G23" s="208">
        <v>120000000</v>
      </c>
      <c r="H23" s="431"/>
      <c r="I23" s="280"/>
      <c r="J23" s="280"/>
      <c r="K23" s="280"/>
      <c r="L23" s="280"/>
      <c r="M23" s="280"/>
      <c r="N23" s="204"/>
    </row>
    <row r="24" spans="2:14" x14ac:dyDescent="0.25">
      <c r="B24" s="202"/>
      <c r="C24" s="201" t="s">
        <v>105</v>
      </c>
      <c r="D24" s="201" t="s">
        <v>17</v>
      </c>
      <c r="E24" s="207">
        <v>43488</v>
      </c>
      <c r="F24" s="207">
        <v>44584</v>
      </c>
      <c r="G24" s="208">
        <v>4000000</v>
      </c>
      <c r="H24" s="208"/>
      <c r="I24" s="280"/>
      <c r="J24" s="280"/>
      <c r="K24" s="280"/>
      <c r="L24" s="280"/>
      <c r="M24" s="280"/>
      <c r="N24" s="204"/>
    </row>
    <row r="25" spans="2:14" x14ac:dyDescent="0.25">
      <c r="B25" s="202"/>
      <c r="C25" s="201" t="s">
        <v>401</v>
      </c>
      <c r="D25" s="201" t="s">
        <v>17</v>
      </c>
      <c r="E25" s="207">
        <v>44712</v>
      </c>
      <c r="F25" s="207">
        <v>45443</v>
      </c>
      <c r="G25" s="208">
        <v>25000000</v>
      </c>
      <c r="H25" s="431"/>
      <c r="I25" s="280"/>
      <c r="J25" s="280"/>
      <c r="K25" s="280"/>
      <c r="L25" s="280"/>
      <c r="M25" s="280"/>
      <c r="N25" s="204"/>
    </row>
    <row r="26" spans="2:14" x14ac:dyDescent="0.25">
      <c r="B26" s="202"/>
      <c r="C26" s="201" t="s">
        <v>400</v>
      </c>
      <c r="D26" s="201" t="s">
        <v>17</v>
      </c>
      <c r="E26" s="207">
        <v>44582</v>
      </c>
      <c r="F26" s="207">
        <v>45678</v>
      </c>
      <c r="G26" s="208">
        <v>25000000</v>
      </c>
      <c r="H26" s="431"/>
      <c r="I26" s="280"/>
      <c r="J26" s="280"/>
      <c r="K26" s="280"/>
      <c r="L26" s="280"/>
      <c r="M26" s="280"/>
      <c r="N26" s="204"/>
    </row>
    <row r="27" spans="2:14" x14ac:dyDescent="0.25">
      <c r="B27" s="202"/>
      <c r="C27" s="201" t="s">
        <v>118</v>
      </c>
      <c r="D27" s="201" t="s">
        <v>17</v>
      </c>
      <c r="E27" s="207">
        <v>43599</v>
      </c>
      <c r="F27" s="207">
        <v>44330</v>
      </c>
      <c r="G27" s="208">
        <v>15000000</v>
      </c>
      <c r="H27" s="208"/>
      <c r="I27" s="280"/>
      <c r="J27" s="280"/>
      <c r="K27" s="280"/>
      <c r="L27" s="280"/>
      <c r="M27" s="280"/>
      <c r="N27" s="204"/>
    </row>
    <row r="28" spans="2:14" x14ac:dyDescent="0.25">
      <c r="B28" s="202"/>
      <c r="C28" s="201" t="s">
        <v>107</v>
      </c>
      <c r="D28" s="201" t="s">
        <v>17</v>
      </c>
      <c r="E28" s="207">
        <v>43222</v>
      </c>
      <c r="F28" s="207">
        <v>44318</v>
      </c>
      <c r="G28" s="208">
        <v>20000000</v>
      </c>
      <c r="H28" s="208"/>
      <c r="I28" s="280"/>
      <c r="J28" s="280"/>
      <c r="K28" s="280"/>
      <c r="L28" s="280"/>
      <c r="M28" s="280"/>
      <c r="N28" s="204"/>
    </row>
    <row r="29" spans="2:14" x14ac:dyDescent="0.25">
      <c r="B29" s="202"/>
      <c r="C29" s="201" t="s">
        <v>119</v>
      </c>
      <c r="D29" s="201" t="s">
        <v>17</v>
      </c>
      <c r="E29" s="207">
        <v>43342</v>
      </c>
      <c r="F29" s="207">
        <v>44438</v>
      </c>
      <c r="G29" s="208">
        <v>19000000</v>
      </c>
      <c r="H29" s="208"/>
      <c r="I29" s="280"/>
      <c r="J29" s="280"/>
      <c r="K29" s="280"/>
      <c r="L29" s="280"/>
      <c r="M29" s="280"/>
      <c r="N29" s="204"/>
    </row>
    <row r="30" spans="2:14" x14ac:dyDescent="0.25">
      <c r="B30" s="202"/>
      <c r="C30" s="201" t="s">
        <v>111</v>
      </c>
      <c r="D30" s="201" t="s">
        <v>17</v>
      </c>
      <c r="E30" s="207">
        <v>43615</v>
      </c>
      <c r="F30" s="207">
        <v>44346</v>
      </c>
      <c r="G30" s="208">
        <v>23538460</v>
      </c>
      <c r="H30" s="208"/>
      <c r="I30" s="280"/>
      <c r="J30" s="280"/>
      <c r="K30" s="280"/>
      <c r="L30" s="280"/>
      <c r="M30" s="280"/>
      <c r="N30" s="204"/>
    </row>
    <row r="31" spans="2:14" x14ac:dyDescent="0.25">
      <c r="B31" s="202"/>
      <c r="C31" s="201" t="s">
        <v>393</v>
      </c>
      <c r="D31" s="201" t="s">
        <v>17</v>
      </c>
      <c r="E31" s="207">
        <v>44218</v>
      </c>
      <c r="F31" s="207">
        <v>44948</v>
      </c>
      <c r="G31" s="208">
        <v>50000000</v>
      </c>
      <c r="H31" s="431"/>
      <c r="I31" s="280"/>
      <c r="J31" s="280"/>
      <c r="K31" s="280"/>
      <c r="L31" s="280"/>
      <c r="M31" s="280"/>
      <c r="N31" s="204"/>
    </row>
    <row r="32" spans="2:14" x14ac:dyDescent="0.25">
      <c r="B32" s="202"/>
      <c r="C32" s="201" t="s">
        <v>395</v>
      </c>
      <c r="D32" s="201" t="s">
        <v>17</v>
      </c>
      <c r="E32" s="207">
        <v>44552</v>
      </c>
      <c r="F32" s="207">
        <v>45282</v>
      </c>
      <c r="G32" s="208">
        <v>12000000</v>
      </c>
      <c r="H32" s="431"/>
      <c r="I32" s="280"/>
      <c r="J32" s="280"/>
      <c r="K32" s="280"/>
      <c r="L32" s="280"/>
      <c r="M32" s="280"/>
      <c r="N32" s="204"/>
    </row>
    <row r="33" spans="2:14" x14ac:dyDescent="0.25">
      <c r="B33" s="202"/>
      <c r="C33" s="201" t="s">
        <v>113</v>
      </c>
      <c r="D33" s="201" t="s">
        <v>17</v>
      </c>
      <c r="E33" s="207">
        <v>43481</v>
      </c>
      <c r="F33" s="207">
        <v>44212</v>
      </c>
      <c r="G33" s="208">
        <v>4000000</v>
      </c>
      <c r="H33" s="208"/>
      <c r="I33" s="280"/>
      <c r="J33" s="280"/>
      <c r="K33" s="280"/>
      <c r="L33" s="280"/>
      <c r="M33" s="280"/>
      <c r="N33" s="204"/>
    </row>
    <row r="34" spans="2:14" x14ac:dyDescent="0.25">
      <c r="B34" s="202"/>
      <c r="C34" s="201" t="s">
        <v>402</v>
      </c>
      <c r="D34" s="201" t="s">
        <v>17</v>
      </c>
      <c r="E34" s="207">
        <v>44754</v>
      </c>
      <c r="F34" s="207">
        <v>45850</v>
      </c>
      <c r="G34" s="208">
        <v>189274950</v>
      </c>
      <c r="H34" s="431"/>
      <c r="I34" s="280"/>
      <c r="J34" s="280"/>
      <c r="K34" s="280"/>
      <c r="L34" s="280"/>
      <c r="M34" s="280"/>
      <c r="N34" s="204"/>
    </row>
    <row r="35" spans="2:14" x14ac:dyDescent="0.25">
      <c r="B35" s="202"/>
      <c r="C35" s="201" t="s">
        <v>191</v>
      </c>
      <c r="D35" s="201" t="s">
        <v>17</v>
      </c>
      <c r="E35" s="207">
        <v>43817</v>
      </c>
      <c r="F35" s="207">
        <v>44914</v>
      </c>
      <c r="G35" s="208">
        <v>4000000</v>
      </c>
      <c r="H35" s="208"/>
      <c r="I35" s="280"/>
      <c r="J35" s="280"/>
      <c r="K35" s="280"/>
      <c r="L35" s="280"/>
      <c r="M35" s="280"/>
      <c r="N35" s="204"/>
    </row>
    <row r="36" spans="2:14" x14ac:dyDescent="0.25">
      <c r="B36" s="202"/>
      <c r="C36" s="201" t="s">
        <v>114</v>
      </c>
      <c r="D36" s="201" t="s">
        <v>17</v>
      </c>
      <c r="E36" s="207">
        <v>43222</v>
      </c>
      <c r="F36" s="207">
        <v>44318</v>
      </c>
      <c r="G36" s="208">
        <v>20000000</v>
      </c>
      <c r="H36" s="208"/>
      <c r="I36" s="280"/>
      <c r="J36" s="280"/>
      <c r="K36" s="280"/>
      <c r="L36" s="280"/>
      <c r="M36" s="280"/>
      <c r="N36" s="204"/>
    </row>
    <row r="37" spans="2:14" x14ac:dyDescent="0.25">
      <c r="B37" s="202"/>
      <c r="C37" s="201" t="s">
        <v>154</v>
      </c>
      <c r="D37" s="201" t="s">
        <v>17</v>
      </c>
      <c r="E37" s="207">
        <v>43396</v>
      </c>
      <c r="F37" s="207">
        <v>44492</v>
      </c>
      <c r="G37" s="208">
        <v>2800000</v>
      </c>
      <c r="H37" s="208"/>
      <c r="I37" s="280"/>
      <c r="J37" s="280"/>
      <c r="K37" s="280"/>
      <c r="L37" s="280"/>
      <c r="M37" s="280"/>
      <c r="N37" s="204"/>
    </row>
    <row r="38" spans="2:14" x14ac:dyDescent="0.25">
      <c r="B38" s="202"/>
      <c r="C38" s="201" t="s">
        <v>153</v>
      </c>
      <c r="D38" s="201" t="s">
        <v>17</v>
      </c>
      <c r="E38" s="207">
        <v>43683</v>
      </c>
      <c r="F38" s="207">
        <v>44414</v>
      </c>
      <c r="G38" s="208">
        <v>15000000</v>
      </c>
      <c r="H38" s="208"/>
      <c r="I38" s="280"/>
      <c r="J38" s="280"/>
      <c r="K38" s="280"/>
      <c r="L38" s="280"/>
      <c r="M38" s="280"/>
      <c r="N38" s="204"/>
    </row>
    <row r="39" spans="2:14" x14ac:dyDescent="0.25">
      <c r="B39" s="202"/>
      <c r="C39" s="201" t="s">
        <v>371</v>
      </c>
      <c r="D39" s="201" t="s">
        <v>17</v>
      </c>
      <c r="E39" s="207">
        <v>44707</v>
      </c>
      <c r="F39" s="207">
        <v>45622</v>
      </c>
      <c r="G39" s="208">
        <v>50000000</v>
      </c>
      <c r="H39" s="431"/>
      <c r="I39" s="280"/>
      <c r="J39" s="280"/>
      <c r="K39" s="280"/>
      <c r="L39" s="280"/>
      <c r="M39" s="280"/>
      <c r="N39" s="204"/>
    </row>
    <row r="40" spans="2:14" x14ac:dyDescent="0.25">
      <c r="B40" s="202"/>
      <c r="C40" s="201" t="s">
        <v>157</v>
      </c>
      <c r="D40" s="201" t="s">
        <v>17</v>
      </c>
      <c r="E40" s="207">
        <v>43438</v>
      </c>
      <c r="F40" s="207">
        <v>44169</v>
      </c>
      <c r="G40" s="208">
        <v>2000000</v>
      </c>
      <c r="H40" s="208"/>
      <c r="I40" s="280"/>
      <c r="J40" s="280"/>
      <c r="K40" s="280"/>
      <c r="L40" s="280"/>
      <c r="M40" s="280"/>
      <c r="N40" s="204"/>
    </row>
    <row r="41" spans="2:14" x14ac:dyDescent="0.25">
      <c r="B41" s="202"/>
      <c r="C41" s="201" t="s">
        <v>403</v>
      </c>
      <c r="D41" s="201" t="s">
        <v>17</v>
      </c>
      <c r="E41" s="207">
        <v>44648</v>
      </c>
      <c r="F41" s="207">
        <v>45379</v>
      </c>
      <c r="G41" s="208">
        <v>50000000</v>
      </c>
      <c r="H41" s="431"/>
      <c r="I41" s="280"/>
      <c r="J41" s="280"/>
      <c r="K41" s="280"/>
      <c r="L41" s="280"/>
      <c r="M41" s="280"/>
      <c r="N41" s="204"/>
    </row>
    <row r="42" spans="2:14" x14ac:dyDescent="0.25">
      <c r="B42" s="202"/>
      <c r="C42" s="201" t="s">
        <v>159</v>
      </c>
      <c r="D42" s="201" t="s">
        <v>17</v>
      </c>
      <c r="E42" s="207">
        <v>43280</v>
      </c>
      <c r="F42" s="207">
        <v>44406</v>
      </c>
      <c r="G42" s="208">
        <v>2000000</v>
      </c>
      <c r="H42" s="208"/>
      <c r="I42" s="280"/>
      <c r="J42" s="280"/>
      <c r="K42" s="280"/>
      <c r="L42" s="280"/>
      <c r="M42" s="280"/>
      <c r="N42" s="204"/>
    </row>
    <row r="43" spans="2:14" x14ac:dyDescent="0.25">
      <c r="B43" s="202"/>
      <c r="C43" s="201" t="s">
        <v>161</v>
      </c>
      <c r="D43" s="201" t="s">
        <v>17</v>
      </c>
      <c r="E43" s="207">
        <v>43599</v>
      </c>
      <c r="F43" s="207">
        <v>44328</v>
      </c>
      <c r="G43" s="208">
        <v>18000000</v>
      </c>
      <c r="H43" s="208"/>
      <c r="I43" s="280"/>
      <c r="J43" s="280"/>
      <c r="K43" s="280"/>
      <c r="L43" s="280"/>
      <c r="M43" s="280"/>
      <c r="N43" s="204"/>
    </row>
    <row r="44" spans="2:14" x14ac:dyDescent="0.25">
      <c r="B44" s="202"/>
      <c r="C44" s="201" t="s">
        <v>353</v>
      </c>
      <c r="D44" s="201" t="s">
        <v>17</v>
      </c>
      <c r="E44" s="207">
        <v>44372</v>
      </c>
      <c r="F44" s="207">
        <v>45102</v>
      </c>
      <c r="G44" s="208">
        <v>40000000</v>
      </c>
      <c r="H44" s="208"/>
      <c r="I44" s="280"/>
      <c r="J44" s="280"/>
      <c r="K44" s="280"/>
      <c r="L44" s="280"/>
      <c r="M44" s="280"/>
      <c r="N44" s="204"/>
    </row>
    <row r="45" spans="2:14" x14ac:dyDescent="0.25">
      <c r="B45" s="202"/>
      <c r="C45" s="201" t="s">
        <v>198</v>
      </c>
      <c r="D45" s="201" t="s">
        <v>17</v>
      </c>
      <c r="E45" s="207">
        <v>43209</v>
      </c>
      <c r="F45" s="207">
        <v>43940</v>
      </c>
      <c r="G45" s="208">
        <v>1000000</v>
      </c>
      <c r="H45" s="208"/>
      <c r="I45" s="280"/>
      <c r="J45" s="280"/>
      <c r="K45" s="280"/>
      <c r="L45" s="280"/>
      <c r="M45" s="280"/>
      <c r="N45" s="204"/>
    </row>
    <row r="46" spans="2:14" x14ac:dyDescent="0.25">
      <c r="B46" s="202"/>
      <c r="C46" s="201" t="s">
        <v>214</v>
      </c>
      <c r="D46" s="201" t="s">
        <v>61</v>
      </c>
      <c r="E46" s="207">
        <v>43249</v>
      </c>
      <c r="F46" s="207">
        <v>43980</v>
      </c>
      <c r="G46" s="208">
        <v>23100000</v>
      </c>
      <c r="H46" s="208"/>
      <c r="I46" s="280"/>
      <c r="J46" s="280"/>
      <c r="K46" s="280"/>
      <c r="L46" s="280"/>
      <c r="M46" s="280"/>
      <c r="N46" s="204"/>
    </row>
    <row r="47" spans="2:14" x14ac:dyDescent="0.25">
      <c r="B47" s="202"/>
      <c r="C47" s="201" t="s">
        <v>404</v>
      </c>
      <c r="D47" s="201" t="s">
        <v>61</v>
      </c>
      <c r="E47" s="207">
        <v>44592</v>
      </c>
      <c r="F47" s="207">
        <v>45322</v>
      </c>
      <c r="G47" s="208">
        <v>30000000</v>
      </c>
      <c r="H47" s="431"/>
      <c r="I47" s="280"/>
      <c r="J47" s="280"/>
      <c r="K47" s="280"/>
      <c r="L47" s="280"/>
      <c r="M47" s="280"/>
      <c r="N47" s="204"/>
    </row>
    <row r="48" spans="2:14" x14ac:dyDescent="0.25">
      <c r="B48" s="202"/>
      <c r="C48" s="201" t="s">
        <v>162</v>
      </c>
      <c r="D48" s="201" t="s">
        <v>17</v>
      </c>
      <c r="E48" s="207">
        <v>43613</v>
      </c>
      <c r="F48" s="207">
        <v>44709</v>
      </c>
      <c r="G48" s="208">
        <v>10000000</v>
      </c>
      <c r="H48" s="208"/>
      <c r="I48" s="280"/>
      <c r="J48" s="280"/>
      <c r="K48" s="280"/>
      <c r="L48" s="280"/>
      <c r="M48" s="280"/>
      <c r="N48" s="204"/>
    </row>
    <row r="49" spans="2:14" x14ac:dyDescent="0.25">
      <c r="B49" s="202"/>
      <c r="C49" s="201" t="s">
        <v>68</v>
      </c>
      <c r="D49" s="201" t="s">
        <v>17</v>
      </c>
      <c r="E49" s="207">
        <v>43097</v>
      </c>
      <c r="F49" s="207">
        <v>44193</v>
      </c>
      <c r="G49" s="208">
        <v>20000000</v>
      </c>
      <c r="H49" s="208"/>
      <c r="I49" s="280"/>
      <c r="J49" s="280"/>
      <c r="K49" s="280"/>
      <c r="L49" s="280"/>
      <c r="M49" s="280"/>
      <c r="N49" s="204"/>
    </row>
    <row r="50" spans="2:14" x14ac:dyDescent="0.25">
      <c r="B50" s="202"/>
      <c r="C50" s="201" t="s">
        <v>166</v>
      </c>
      <c r="D50" s="201" t="s">
        <v>17</v>
      </c>
      <c r="E50" s="207">
        <v>43452</v>
      </c>
      <c r="F50" s="207">
        <v>44547</v>
      </c>
      <c r="G50" s="208">
        <v>20000000</v>
      </c>
      <c r="H50" s="208"/>
      <c r="I50" s="280"/>
      <c r="J50" s="280"/>
      <c r="K50" s="280"/>
      <c r="L50" s="280"/>
      <c r="M50" s="280"/>
      <c r="N50" s="204"/>
    </row>
    <row r="51" spans="2:14" x14ac:dyDescent="0.25">
      <c r="B51" s="202"/>
      <c r="C51" s="201" t="s">
        <v>70</v>
      </c>
      <c r="D51" s="201" t="s">
        <v>17</v>
      </c>
      <c r="E51" s="207">
        <v>43460</v>
      </c>
      <c r="F51" s="207">
        <v>44191</v>
      </c>
      <c r="G51" s="208">
        <v>40000000</v>
      </c>
      <c r="H51" s="208"/>
      <c r="I51" s="280"/>
      <c r="J51" s="280"/>
      <c r="K51" s="280"/>
      <c r="L51" s="280"/>
      <c r="M51" s="280"/>
      <c r="N51" s="204"/>
    </row>
    <row r="52" spans="2:14" x14ac:dyDescent="0.25">
      <c r="B52" s="202"/>
      <c r="C52" s="201" t="s">
        <v>167</v>
      </c>
      <c r="D52" s="201" t="s">
        <v>17</v>
      </c>
      <c r="E52" s="207">
        <v>43649</v>
      </c>
      <c r="F52" s="207">
        <v>44380</v>
      </c>
      <c r="G52" s="208">
        <v>30000000</v>
      </c>
      <c r="H52" s="208"/>
      <c r="I52" s="280"/>
      <c r="J52" s="280"/>
      <c r="K52" s="280"/>
      <c r="L52" s="280"/>
      <c r="M52" s="280"/>
      <c r="N52" s="204"/>
    </row>
    <row r="53" spans="2:14" x14ac:dyDescent="0.25">
      <c r="B53" s="202"/>
      <c r="C53" s="201" t="s">
        <v>397</v>
      </c>
      <c r="D53" s="201" t="s">
        <v>17</v>
      </c>
      <c r="E53" s="207">
        <v>44491</v>
      </c>
      <c r="F53" s="207">
        <v>45344</v>
      </c>
      <c r="G53" s="208">
        <v>30000000</v>
      </c>
      <c r="H53" s="431"/>
      <c r="I53" s="280"/>
      <c r="J53" s="280"/>
      <c r="K53" s="280"/>
      <c r="L53" s="280"/>
      <c r="M53" s="280"/>
      <c r="N53" s="204"/>
    </row>
    <row r="54" spans="2:14" x14ac:dyDescent="0.25">
      <c r="B54" s="202"/>
      <c r="C54" s="201" t="s">
        <v>379</v>
      </c>
      <c r="D54" s="201" t="s">
        <v>17</v>
      </c>
      <c r="E54" s="207">
        <v>44791</v>
      </c>
      <c r="F54" s="207">
        <v>45400</v>
      </c>
      <c r="G54" s="208">
        <v>120000000</v>
      </c>
      <c r="H54" s="431"/>
      <c r="I54" s="280"/>
      <c r="J54" s="280"/>
      <c r="K54" s="280"/>
      <c r="L54" s="280"/>
      <c r="M54" s="280"/>
      <c r="N54" s="204"/>
    </row>
    <row r="55" spans="2:14" x14ac:dyDescent="0.25">
      <c r="B55" s="202"/>
      <c r="C55" s="201" t="s">
        <v>170</v>
      </c>
      <c r="D55" s="201" t="s">
        <v>17</v>
      </c>
      <c r="E55" s="207">
        <v>43342</v>
      </c>
      <c r="F55" s="207">
        <v>44438</v>
      </c>
      <c r="G55" s="208">
        <v>5000000</v>
      </c>
      <c r="H55" s="208"/>
      <c r="I55" s="280"/>
      <c r="J55" s="280"/>
      <c r="K55" s="280"/>
      <c r="L55" s="280"/>
      <c r="M55" s="280"/>
      <c r="N55" s="204"/>
    </row>
    <row r="56" spans="2:14" x14ac:dyDescent="0.25">
      <c r="B56" s="202"/>
      <c r="C56" s="201" t="s">
        <v>171</v>
      </c>
      <c r="D56" s="201" t="s">
        <v>17</v>
      </c>
      <c r="E56" s="207">
        <v>43593</v>
      </c>
      <c r="F56" s="207">
        <v>44689</v>
      </c>
      <c r="G56" s="208">
        <v>5000000</v>
      </c>
      <c r="H56" s="208"/>
      <c r="I56" s="280"/>
      <c r="J56" s="280"/>
      <c r="K56" s="280"/>
      <c r="L56" s="280"/>
      <c r="M56" s="280"/>
      <c r="N56" s="204"/>
    </row>
    <row r="57" spans="2:14" x14ac:dyDescent="0.25">
      <c r="B57" s="202"/>
      <c r="C57" s="201" t="s">
        <v>173</v>
      </c>
      <c r="D57" s="201" t="s">
        <v>17</v>
      </c>
      <c r="E57" s="207">
        <v>43648</v>
      </c>
      <c r="F57" s="207">
        <v>44744</v>
      </c>
      <c r="G57" s="208">
        <v>3000000</v>
      </c>
      <c r="H57" s="208"/>
      <c r="I57" s="280"/>
      <c r="J57" s="280"/>
      <c r="K57" s="280"/>
      <c r="L57" s="280"/>
      <c r="M57" s="280"/>
      <c r="N57" s="204"/>
    </row>
    <row r="58" spans="2:14" x14ac:dyDescent="0.25">
      <c r="B58" s="202"/>
      <c r="C58" s="201" t="s">
        <v>405</v>
      </c>
      <c r="D58" s="201" t="s">
        <v>61</v>
      </c>
      <c r="E58" s="207">
        <v>44004</v>
      </c>
      <c r="F58" s="207">
        <v>44369</v>
      </c>
      <c r="G58" s="208">
        <v>100000000</v>
      </c>
      <c r="H58" s="431"/>
      <c r="I58" s="280"/>
      <c r="J58" s="280"/>
      <c r="K58" s="280"/>
      <c r="L58" s="280"/>
      <c r="M58" s="280"/>
      <c r="N58" s="204"/>
    </row>
    <row r="59" spans="2:14" x14ac:dyDescent="0.25">
      <c r="B59" s="202"/>
      <c r="C59" s="201" t="s">
        <v>174</v>
      </c>
      <c r="D59" s="201" t="s">
        <v>17</v>
      </c>
      <c r="E59" s="207">
        <v>43608</v>
      </c>
      <c r="F59" s="207">
        <v>44704</v>
      </c>
      <c r="G59" s="208">
        <v>5000000</v>
      </c>
      <c r="H59" s="208"/>
      <c r="I59" s="280"/>
      <c r="J59" s="280"/>
      <c r="K59" s="280"/>
      <c r="L59" s="280"/>
      <c r="M59" s="280"/>
      <c r="N59" s="204"/>
    </row>
    <row r="60" spans="2:14" x14ac:dyDescent="0.25">
      <c r="B60" s="202"/>
      <c r="C60" s="201" t="s">
        <v>176</v>
      </c>
      <c r="D60" s="201" t="s">
        <v>17</v>
      </c>
      <c r="E60" s="207">
        <v>43391</v>
      </c>
      <c r="F60" s="207">
        <v>44487</v>
      </c>
      <c r="G60" s="208">
        <v>8000000</v>
      </c>
      <c r="H60" s="208"/>
      <c r="I60" s="280"/>
      <c r="J60" s="280"/>
      <c r="K60" s="280"/>
      <c r="L60" s="280"/>
      <c r="M60" s="280"/>
      <c r="N60" s="204"/>
    </row>
    <row r="61" spans="2:14" x14ac:dyDescent="0.25">
      <c r="B61" s="202"/>
      <c r="C61" s="201" t="s">
        <v>178</v>
      </c>
      <c r="D61" s="201" t="s">
        <v>17</v>
      </c>
      <c r="E61" s="207">
        <v>43515</v>
      </c>
      <c r="F61" s="207">
        <v>44611</v>
      </c>
      <c r="G61" s="208">
        <v>8000000</v>
      </c>
      <c r="H61" s="208"/>
      <c r="I61" s="280"/>
      <c r="J61" s="280"/>
      <c r="K61" s="280"/>
      <c r="L61" s="280"/>
      <c r="M61" s="280"/>
      <c r="N61" s="204"/>
    </row>
    <row r="62" spans="2:14" x14ac:dyDescent="0.25">
      <c r="B62" s="202"/>
      <c r="C62" s="201" t="s">
        <v>179</v>
      </c>
      <c r="D62" s="201" t="s">
        <v>17</v>
      </c>
      <c r="E62" s="207">
        <v>43406</v>
      </c>
      <c r="F62" s="207">
        <v>44137</v>
      </c>
      <c r="G62" s="208">
        <v>2000000</v>
      </c>
      <c r="H62" s="208"/>
      <c r="I62" s="280"/>
      <c r="J62" s="280"/>
      <c r="K62" s="280"/>
      <c r="L62" s="280"/>
      <c r="M62" s="280"/>
      <c r="N62" s="204"/>
    </row>
    <row r="63" spans="2:14" x14ac:dyDescent="0.25">
      <c r="B63" s="202"/>
      <c r="C63" s="201" t="s">
        <v>213</v>
      </c>
      <c r="D63" s="201" t="s">
        <v>61</v>
      </c>
      <c r="E63" s="207">
        <v>42990</v>
      </c>
      <c r="F63" s="207">
        <v>44086</v>
      </c>
      <c r="G63" s="208">
        <v>60000000</v>
      </c>
      <c r="H63" s="208"/>
      <c r="I63" s="280"/>
      <c r="J63" s="280"/>
      <c r="K63" s="280"/>
      <c r="L63" s="280"/>
      <c r="M63" s="280"/>
      <c r="N63" s="204"/>
    </row>
    <row r="64" spans="2:14" x14ac:dyDescent="0.25">
      <c r="B64" s="202"/>
      <c r="C64" s="201" t="s">
        <v>181</v>
      </c>
      <c r="D64" s="201" t="s">
        <v>17</v>
      </c>
      <c r="E64" s="207">
        <v>43572</v>
      </c>
      <c r="F64" s="207">
        <v>44303</v>
      </c>
      <c r="G64" s="208">
        <v>2000000</v>
      </c>
      <c r="H64" s="208"/>
      <c r="I64" s="280"/>
      <c r="J64" s="280"/>
      <c r="K64" s="280"/>
      <c r="L64" s="280"/>
      <c r="M64" s="280"/>
      <c r="N64" s="204"/>
    </row>
    <row r="65" spans="2:14" x14ac:dyDescent="0.25">
      <c r="B65" s="202"/>
      <c r="C65" s="201" t="s">
        <v>183</v>
      </c>
      <c r="D65" s="201" t="s">
        <v>17</v>
      </c>
      <c r="E65" s="207">
        <v>43318</v>
      </c>
      <c r="F65" s="207">
        <v>44049</v>
      </c>
      <c r="G65" s="208">
        <v>10000000</v>
      </c>
      <c r="H65" s="208"/>
      <c r="I65" s="280"/>
      <c r="J65" s="280"/>
      <c r="K65" s="280"/>
      <c r="L65" s="280"/>
      <c r="M65" s="280"/>
      <c r="N65" s="204"/>
    </row>
    <row r="66" spans="2:14" x14ac:dyDescent="0.25">
      <c r="B66" s="202"/>
      <c r="C66" s="201" t="s">
        <v>184</v>
      </c>
      <c r="D66" s="201" t="s">
        <v>17</v>
      </c>
      <c r="E66" s="207">
        <v>43437</v>
      </c>
      <c r="F66" s="207">
        <v>44168</v>
      </c>
      <c r="G66" s="208">
        <v>10000000</v>
      </c>
      <c r="H66" s="208"/>
      <c r="I66" s="280"/>
      <c r="J66" s="280"/>
      <c r="K66" s="280"/>
      <c r="L66" s="280"/>
      <c r="M66" s="280"/>
      <c r="N66" s="204"/>
    </row>
    <row r="67" spans="2:14" x14ac:dyDescent="0.25">
      <c r="B67" s="202"/>
      <c r="C67" s="201" t="s">
        <v>364</v>
      </c>
      <c r="D67" s="201" t="s">
        <v>17</v>
      </c>
      <c r="E67" s="207">
        <v>44617</v>
      </c>
      <c r="F67" s="207">
        <v>45347</v>
      </c>
      <c r="G67" s="208">
        <v>50000000</v>
      </c>
      <c r="H67" s="431"/>
      <c r="I67" s="280"/>
      <c r="J67" s="280"/>
      <c r="K67" s="280"/>
      <c r="L67" s="280"/>
      <c r="M67" s="280"/>
      <c r="N67" s="204"/>
    </row>
    <row r="68" spans="2:14" x14ac:dyDescent="0.25">
      <c r="B68" s="202"/>
      <c r="C68" s="201" t="s">
        <v>185</v>
      </c>
      <c r="D68" s="201" t="s">
        <v>17</v>
      </c>
      <c r="E68" s="207">
        <v>43524</v>
      </c>
      <c r="F68" s="207">
        <v>44255</v>
      </c>
      <c r="G68" s="208">
        <v>10000000</v>
      </c>
      <c r="H68" s="208"/>
      <c r="I68" s="280"/>
      <c r="J68" s="280"/>
      <c r="K68" s="280"/>
      <c r="L68" s="280"/>
      <c r="M68" s="280"/>
      <c r="N68" s="204"/>
    </row>
    <row r="69" spans="2:14" x14ac:dyDescent="0.25">
      <c r="B69" s="202"/>
      <c r="C69" s="201" t="s">
        <v>370</v>
      </c>
      <c r="D69" s="201" t="s">
        <v>17</v>
      </c>
      <c r="E69" s="207">
        <v>44680</v>
      </c>
      <c r="F69" s="207">
        <v>45776</v>
      </c>
      <c r="G69" s="208">
        <v>65000000</v>
      </c>
      <c r="H69" s="431"/>
      <c r="I69" s="280"/>
      <c r="J69" s="280"/>
      <c r="K69" s="280"/>
      <c r="L69" s="280"/>
      <c r="M69" s="280"/>
      <c r="N69" s="204"/>
    </row>
    <row r="70" spans="2:14" x14ac:dyDescent="0.25">
      <c r="B70" s="202"/>
      <c r="C70" s="201" t="s">
        <v>73</v>
      </c>
      <c r="D70" s="201" t="s">
        <v>17</v>
      </c>
      <c r="E70" s="207">
        <v>43270</v>
      </c>
      <c r="F70" s="207">
        <v>44366</v>
      </c>
      <c r="G70" s="208">
        <v>25000000</v>
      </c>
      <c r="H70" s="208"/>
      <c r="I70" s="280"/>
      <c r="J70" s="280"/>
      <c r="K70" s="280"/>
      <c r="L70" s="280"/>
      <c r="M70" s="280"/>
      <c r="N70" s="204"/>
    </row>
    <row r="71" spans="2:14" x14ac:dyDescent="0.25">
      <c r="B71" s="202"/>
      <c r="C71" s="201" t="s">
        <v>190</v>
      </c>
      <c r="D71" s="201" t="s">
        <v>17</v>
      </c>
      <c r="E71" s="207">
        <v>43395</v>
      </c>
      <c r="F71" s="207">
        <v>44491</v>
      </c>
      <c r="G71" s="208">
        <v>3500000</v>
      </c>
      <c r="H71" s="208"/>
      <c r="I71" s="280"/>
      <c r="J71" s="280"/>
      <c r="K71" s="280"/>
      <c r="L71" s="280"/>
      <c r="M71" s="280"/>
      <c r="N71" s="204"/>
    </row>
    <row r="72" spans="2:14" x14ac:dyDescent="0.25">
      <c r="B72" s="202"/>
      <c r="C72" s="201" t="s">
        <v>211</v>
      </c>
      <c r="D72" s="201" t="s">
        <v>17</v>
      </c>
      <c r="E72" s="207">
        <v>43850</v>
      </c>
      <c r="F72" s="207">
        <v>44397</v>
      </c>
      <c r="G72" s="208">
        <v>3000000</v>
      </c>
      <c r="H72" s="208"/>
      <c r="I72" s="280"/>
      <c r="J72" s="280"/>
      <c r="K72" s="280"/>
      <c r="L72" s="280"/>
      <c r="M72" s="280"/>
      <c r="N72" s="204"/>
    </row>
    <row r="73" spans="2:14" x14ac:dyDescent="0.25">
      <c r="B73" s="202"/>
      <c r="C73" s="201" t="s">
        <v>212</v>
      </c>
      <c r="D73" s="201" t="s">
        <v>17</v>
      </c>
      <c r="E73" s="207">
        <v>43825</v>
      </c>
      <c r="F73" s="207">
        <v>44556</v>
      </c>
      <c r="G73" s="208">
        <v>4000000</v>
      </c>
      <c r="H73" s="208"/>
      <c r="I73" s="280"/>
      <c r="J73" s="280"/>
      <c r="K73" s="280"/>
      <c r="L73" s="280"/>
      <c r="M73" s="280"/>
      <c r="N73" s="204"/>
    </row>
    <row r="74" spans="2:14" x14ac:dyDescent="0.25">
      <c r="B74" s="202"/>
      <c r="C74" s="201" t="s">
        <v>378</v>
      </c>
      <c r="D74" s="201" t="s">
        <v>17</v>
      </c>
      <c r="E74" s="207">
        <v>44760</v>
      </c>
      <c r="F74" s="207">
        <v>45491</v>
      </c>
      <c r="G74" s="208">
        <v>40000000</v>
      </c>
      <c r="H74" s="431"/>
      <c r="I74" s="280"/>
      <c r="J74" s="280"/>
      <c r="K74" s="280"/>
      <c r="L74" s="280"/>
      <c r="M74" s="280"/>
      <c r="N74" s="204"/>
    </row>
    <row r="75" spans="2:14" x14ac:dyDescent="0.25">
      <c r="B75" s="202"/>
      <c r="C75" s="201" t="s">
        <v>188</v>
      </c>
      <c r="D75" s="201" t="s">
        <v>17</v>
      </c>
      <c r="E75" s="207">
        <v>43479</v>
      </c>
      <c r="F75" s="207">
        <v>44575</v>
      </c>
      <c r="G75" s="208">
        <v>8000000</v>
      </c>
      <c r="H75" s="208"/>
      <c r="I75" s="280"/>
      <c r="J75" s="280"/>
      <c r="K75" s="280"/>
      <c r="L75" s="280"/>
      <c r="M75" s="280"/>
      <c r="N75" s="204"/>
    </row>
    <row r="76" spans="2:14" ht="15.95" customHeight="1" x14ac:dyDescent="0.25">
      <c r="B76" s="214"/>
      <c r="N76" s="215"/>
    </row>
    <row r="77" spans="2:14" ht="15.95" customHeight="1" x14ac:dyDescent="0.25">
      <c r="B77" s="202"/>
      <c r="C77" s="213"/>
      <c r="D77" s="213"/>
      <c r="E77" s="213"/>
      <c r="F77" s="213"/>
      <c r="G77" s="213"/>
      <c r="H77" s="213"/>
      <c r="I77" s="213"/>
      <c r="J77" s="213"/>
      <c r="K77" s="213"/>
      <c r="L77" s="213"/>
      <c r="M77" s="213"/>
      <c r="N77" s="204"/>
    </row>
    <row r="78" spans="2:14" ht="20.100000000000001" customHeight="1" x14ac:dyDescent="0.25">
      <c r="B78" s="202"/>
      <c r="N78" s="204"/>
    </row>
    <row r="79" spans="2:14" ht="15.95" customHeight="1" x14ac:dyDescent="0.25">
      <c r="B79" s="202"/>
      <c r="C79" s="209" t="s">
        <v>49</v>
      </c>
      <c r="D79" s="203" t="s">
        <v>8</v>
      </c>
      <c r="E79" s="203" t="s">
        <v>270</v>
      </c>
      <c r="F79" s="203" t="s">
        <v>29</v>
      </c>
      <c r="G79" s="203" t="s">
        <v>271</v>
      </c>
      <c r="H79" s="203" t="s">
        <v>28</v>
      </c>
      <c r="I79" s="203" t="s">
        <v>332</v>
      </c>
      <c r="J79" s="203" t="s">
        <v>333</v>
      </c>
      <c r="K79" s="203" t="s">
        <v>334</v>
      </c>
      <c r="L79" s="203" t="s">
        <v>335</v>
      </c>
      <c r="M79" s="203" t="s">
        <v>336</v>
      </c>
      <c r="N79" s="204"/>
    </row>
    <row r="80" spans="2:14" ht="15.95" customHeight="1" x14ac:dyDescent="0.25">
      <c r="B80" s="202"/>
      <c r="C80" s="201" t="s">
        <v>140</v>
      </c>
      <c r="D80" s="201" t="s">
        <v>61</v>
      </c>
      <c r="E80" s="207">
        <v>43017</v>
      </c>
      <c r="F80" s="207">
        <v>43930</v>
      </c>
      <c r="G80" s="208">
        <v>400000</v>
      </c>
      <c r="H80" s="208">
        <v>5.8326146006584201E-2</v>
      </c>
      <c r="I80" s="280"/>
      <c r="J80" s="280"/>
      <c r="K80" s="280"/>
      <c r="L80" s="280"/>
      <c r="M80" s="280"/>
      <c r="N80" s="204"/>
    </row>
    <row r="81" spans="2:14" ht="15.95" customHeight="1" x14ac:dyDescent="0.25">
      <c r="B81" s="202"/>
      <c r="C81" s="201" t="s">
        <v>151</v>
      </c>
      <c r="D81" s="201" t="s">
        <v>61</v>
      </c>
      <c r="E81" s="207">
        <v>43031</v>
      </c>
      <c r="F81" s="207">
        <v>44492</v>
      </c>
      <c r="G81" s="208">
        <v>300000</v>
      </c>
      <c r="H81" s="208">
        <v>5.8324965834617604E-2</v>
      </c>
      <c r="I81" s="280"/>
      <c r="J81" s="280"/>
      <c r="K81" s="280"/>
      <c r="L81" s="280"/>
      <c r="M81" s="280"/>
      <c r="N81" s="204"/>
    </row>
    <row r="82" spans="2:14" ht="15.95" customHeight="1" x14ac:dyDescent="0.25">
      <c r="B82" s="202"/>
      <c r="C82" s="201" t="s">
        <v>383</v>
      </c>
      <c r="D82" s="201" t="s">
        <v>17</v>
      </c>
      <c r="E82" s="207">
        <v>44790</v>
      </c>
      <c r="F82" s="207">
        <v>45521</v>
      </c>
      <c r="G82" s="208">
        <v>600000</v>
      </c>
      <c r="H82" s="431"/>
      <c r="I82" s="280"/>
      <c r="J82" s="280"/>
      <c r="K82" s="280"/>
      <c r="L82" s="280"/>
      <c r="M82" s="280"/>
      <c r="N82" s="204"/>
    </row>
    <row r="83" spans="2:14" ht="15.95" customHeight="1" x14ac:dyDescent="0.25">
      <c r="B83" s="202"/>
      <c r="C83" s="201" t="s">
        <v>60</v>
      </c>
      <c r="D83" s="201" t="s">
        <v>61</v>
      </c>
      <c r="E83" s="207">
        <v>43663</v>
      </c>
      <c r="F83" s="207">
        <v>44213</v>
      </c>
      <c r="G83" s="208">
        <v>1400000</v>
      </c>
      <c r="H83" s="208">
        <v>0.10077449679374692</v>
      </c>
      <c r="I83" s="280"/>
      <c r="J83" s="280"/>
      <c r="K83" s="280"/>
      <c r="L83" s="280"/>
      <c r="M83" s="280"/>
      <c r="N83" s="204"/>
    </row>
    <row r="84" spans="2:14" ht="15.95" customHeight="1" x14ac:dyDescent="0.25">
      <c r="B84" s="202"/>
      <c r="C84" s="201" t="s">
        <v>89</v>
      </c>
      <c r="D84" s="201" t="s">
        <v>61</v>
      </c>
      <c r="E84" s="207">
        <v>43612</v>
      </c>
      <c r="F84" s="207">
        <v>44708</v>
      </c>
      <c r="G84" s="208">
        <v>200000</v>
      </c>
      <c r="H84" s="208">
        <v>9.2017766833305356E-2</v>
      </c>
      <c r="I84" s="280"/>
      <c r="J84" s="280"/>
      <c r="K84" s="280"/>
      <c r="L84" s="280"/>
      <c r="M84" s="280"/>
      <c r="N84" s="204"/>
    </row>
    <row r="85" spans="2:14" ht="15.95" customHeight="1" x14ac:dyDescent="0.25">
      <c r="B85" s="202"/>
      <c r="C85" s="201" t="s">
        <v>141</v>
      </c>
      <c r="D85" s="201" t="s">
        <v>61</v>
      </c>
      <c r="E85" s="207">
        <v>43186</v>
      </c>
      <c r="F85" s="207">
        <v>44282</v>
      </c>
      <c r="G85" s="208">
        <v>1000000</v>
      </c>
      <c r="H85" s="208">
        <v>7.449329793453216E-2</v>
      </c>
      <c r="I85" s="280"/>
      <c r="J85" s="280"/>
      <c r="K85" s="280"/>
      <c r="L85" s="280"/>
      <c r="M85" s="280"/>
      <c r="N85" s="204"/>
    </row>
    <row r="86" spans="2:14" ht="15.95" customHeight="1" x14ac:dyDescent="0.25">
      <c r="B86" s="202"/>
      <c r="C86" s="201" t="s">
        <v>392</v>
      </c>
      <c r="D86" s="201" t="s">
        <v>61</v>
      </c>
      <c r="E86" s="207">
        <v>44217</v>
      </c>
      <c r="F86" s="207">
        <v>45312</v>
      </c>
      <c r="G86" s="208">
        <v>1004290</v>
      </c>
      <c r="H86" s="431"/>
      <c r="I86" s="280"/>
      <c r="J86" s="280"/>
      <c r="K86" s="280"/>
      <c r="L86" s="280"/>
      <c r="M86" s="280"/>
      <c r="N86" s="204"/>
    </row>
    <row r="87" spans="2:14" ht="15.95" customHeight="1" x14ac:dyDescent="0.25">
      <c r="B87" s="202"/>
      <c r="C87" s="201" t="s">
        <v>143</v>
      </c>
      <c r="D87" s="201" t="s">
        <v>17</v>
      </c>
      <c r="E87" s="207">
        <v>43441</v>
      </c>
      <c r="F87" s="207">
        <v>44172</v>
      </c>
      <c r="G87" s="208">
        <v>500000</v>
      </c>
      <c r="H87" s="208">
        <v>0.11302022337913512</v>
      </c>
      <c r="I87" s="280"/>
      <c r="J87" s="280"/>
      <c r="K87" s="280"/>
      <c r="L87" s="280"/>
      <c r="M87" s="280"/>
      <c r="N87" s="204"/>
    </row>
    <row r="88" spans="2:14" ht="15.95" customHeight="1" x14ac:dyDescent="0.25">
      <c r="B88" s="202"/>
      <c r="C88" s="201" t="s">
        <v>144</v>
      </c>
      <c r="D88" s="201" t="s">
        <v>17</v>
      </c>
      <c r="E88" s="207">
        <v>43367</v>
      </c>
      <c r="F88" s="207">
        <v>44463</v>
      </c>
      <c r="G88" s="208">
        <v>100000</v>
      </c>
      <c r="H88" s="208">
        <v>9.3083307147026076E-2</v>
      </c>
      <c r="I88" s="280"/>
      <c r="J88" s="280"/>
      <c r="K88" s="280"/>
      <c r="L88" s="280"/>
      <c r="M88" s="280"/>
      <c r="N88" s="204"/>
    </row>
    <row r="89" spans="2:14" ht="15.95" customHeight="1" x14ac:dyDescent="0.25">
      <c r="B89" s="202"/>
      <c r="C89" s="201" t="s">
        <v>145</v>
      </c>
      <c r="D89" s="201" t="s">
        <v>17</v>
      </c>
      <c r="E89" s="207">
        <v>43537</v>
      </c>
      <c r="F89" s="207">
        <v>44633</v>
      </c>
      <c r="G89" s="208">
        <v>80000</v>
      </c>
      <c r="H89" s="208">
        <v>8.7211582064628604E-2</v>
      </c>
      <c r="I89" s="280"/>
      <c r="J89" s="280"/>
      <c r="K89" s="280"/>
      <c r="L89" s="280"/>
      <c r="M89" s="280"/>
      <c r="N89" s="204"/>
    </row>
    <row r="90" spans="2:14" ht="15.95" customHeight="1" x14ac:dyDescent="0.25">
      <c r="B90" s="202"/>
      <c r="C90" s="201" t="s">
        <v>66</v>
      </c>
      <c r="D90" s="201" t="s">
        <v>17</v>
      </c>
      <c r="E90" s="207">
        <v>43178</v>
      </c>
      <c r="F90" s="207">
        <v>44274</v>
      </c>
      <c r="G90" s="208">
        <v>575000</v>
      </c>
      <c r="H90" s="208">
        <v>0.10249497294425963</v>
      </c>
      <c r="I90" s="280"/>
      <c r="J90" s="280"/>
      <c r="K90" s="280"/>
      <c r="L90" s="280"/>
      <c r="M90" s="280"/>
      <c r="N90" s="204"/>
    </row>
    <row r="91" spans="2:14" ht="15.95" customHeight="1" x14ac:dyDescent="0.25">
      <c r="B91" s="202"/>
      <c r="C91" s="201" t="s">
        <v>245</v>
      </c>
      <c r="D91" s="201" t="s">
        <v>17</v>
      </c>
      <c r="E91" s="207">
        <v>43223</v>
      </c>
      <c r="F91" s="207">
        <v>45049</v>
      </c>
      <c r="G91" s="208">
        <v>1000000</v>
      </c>
      <c r="H91" s="208">
        <v>8.1598290801048301E-2</v>
      </c>
      <c r="I91" s="280"/>
      <c r="J91" s="280"/>
      <c r="K91" s="280"/>
      <c r="L91" s="280"/>
      <c r="M91" s="280"/>
      <c r="N91" s="204"/>
    </row>
    <row r="92" spans="2:14" ht="15.95" customHeight="1" x14ac:dyDescent="0.25">
      <c r="B92" s="202"/>
      <c r="C92" s="201" t="s">
        <v>147</v>
      </c>
      <c r="D92" s="201" t="s">
        <v>17</v>
      </c>
      <c r="E92" s="207">
        <v>43115</v>
      </c>
      <c r="F92" s="207">
        <v>44211</v>
      </c>
      <c r="G92" s="208">
        <v>550000</v>
      </c>
      <c r="H92" s="208">
        <v>7.2260555624961864E-2</v>
      </c>
      <c r="I92" s="280"/>
      <c r="J92" s="280"/>
      <c r="K92" s="280"/>
      <c r="L92" s="280"/>
      <c r="M92" s="280"/>
      <c r="N92" s="204"/>
    </row>
    <row r="93" spans="2:14" ht="15.95" customHeight="1" x14ac:dyDescent="0.25">
      <c r="B93" s="202"/>
      <c r="C93" s="201" t="s">
        <v>148</v>
      </c>
      <c r="D93" s="201" t="s">
        <v>17</v>
      </c>
      <c r="E93" s="207">
        <v>43313</v>
      </c>
      <c r="F93" s="207">
        <v>44410</v>
      </c>
      <c r="G93" s="208">
        <v>200000</v>
      </c>
      <c r="H93" s="208">
        <v>8.6799797415733335E-2</v>
      </c>
      <c r="I93" s="280"/>
      <c r="J93" s="280"/>
      <c r="K93" s="280"/>
      <c r="L93" s="280"/>
      <c r="M93" s="280"/>
      <c r="N93" s="204"/>
    </row>
    <row r="94" spans="2:14" ht="15.95" customHeight="1" x14ac:dyDescent="0.25">
      <c r="B94" s="202"/>
      <c r="C94" s="201" t="s">
        <v>192</v>
      </c>
      <c r="D94" s="201" t="s">
        <v>61</v>
      </c>
      <c r="E94" s="207">
        <v>42705</v>
      </c>
      <c r="F94" s="207">
        <v>44166</v>
      </c>
      <c r="G94" s="208">
        <v>5000000</v>
      </c>
      <c r="H94" s="208">
        <v>7.6404973864555345E-2</v>
      </c>
      <c r="I94" s="280"/>
      <c r="J94" s="280"/>
      <c r="K94" s="280"/>
      <c r="L94" s="280"/>
      <c r="M94" s="280"/>
      <c r="N94" s="204"/>
    </row>
    <row r="95" spans="2:14" ht="15.95" customHeight="1" x14ac:dyDescent="0.25">
      <c r="B95" s="202"/>
      <c r="C95" s="201" t="s">
        <v>149</v>
      </c>
      <c r="D95" s="201" t="s">
        <v>17</v>
      </c>
      <c r="E95" s="207">
        <v>43334</v>
      </c>
      <c r="F95" s="207">
        <v>44065</v>
      </c>
      <c r="G95" s="208">
        <v>145000</v>
      </c>
      <c r="H95" s="208">
        <v>8.4714314341545124E-2</v>
      </c>
      <c r="I95" s="280"/>
      <c r="J95" s="280"/>
      <c r="K95" s="280"/>
      <c r="L95" s="280"/>
      <c r="M95" s="280"/>
      <c r="N95" s="204"/>
    </row>
    <row r="96" spans="2:14" ht="15.95" customHeight="1" x14ac:dyDescent="0.25">
      <c r="B96" s="202"/>
      <c r="C96" s="201" t="s">
        <v>150</v>
      </c>
      <c r="D96" s="201" t="s">
        <v>17</v>
      </c>
      <c r="E96" s="207">
        <v>43476</v>
      </c>
      <c r="F96" s="207">
        <v>44572</v>
      </c>
      <c r="G96" s="208">
        <v>215000</v>
      </c>
      <c r="H96" s="208">
        <v>0.10249670147895815</v>
      </c>
      <c r="I96" s="280"/>
      <c r="J96" s="280"/>
      <c r="K96" s="280"/>
      <c r="L96" s="280"/>
      <c r="M96" s="280"/>
      <c r="N96" s="204"/>
    </row>
    <row r="97" spans="2:14" ht="15.95" customHeight="1" x14ac:dyDescent="0.25">
      <c r="B97" s="202"/>
      <c r="C97" s="201" t="s">
        <v>193</v>
      </c>
      <c r="D97" s="201" t="s">
        <v>17</v>
      </c>
      <c r="E97" s="207">
        <v>43172</v>
      </c>
      <c r="F97" s="207">
        <v>44268</v>
      </c>
      <c r="G97" s="208">
        <v>600000</v>
      </c>
      <c r="H97" s="208">
        <v>6.605325043201446E-2</v>
      </c>
      <c r="I97" s="280"/>
      <c r="J97" s="280"/>
      <c r="K97" s="280"/>
      <c r="L97" s="280"/>
      <c r="M97" s="280"/>
      <c r="N97" s="204"/>
    </row>
    <row r="98" spans="2:14" ht="15.95" customHeight="1" x14ac:dyDescent="0.25">
      <c r="B98" s="202"/>
      <c r="C98" s="201" t="s">
        <v>194</v>
      </c>
      <c r="D98" s="201" t="s">
        <v>17</v>
      </c>
      <c r="E98" s="207">
        <v>43304</v>
      </c>
      <c r="F98" s="207">
        <v>44400</v>
      </c>
      <c r="G98" s="208">
        <v>300000</v>
      </c>
      <c r="H98" s="208">
        <v>9.0975317358970659E-2</v>
      </c>
      <c r="I98" s="280"/>
      <c r="J98" s="280"/>
      <c r="K98" s="280"/>
      <c r="L98" s="280"/>
      <c r="M98" s="280"/>
      <c r="N98" s="204"/>
    </row>
    <row r="99" spans="2:14" ht="15.95" customHeight="1" x14ac:dyDescent="0.25">
      <c r="B99" s="202"/>
      <c r="C99" s="201" t="s">
        <v>195</v>
      </c>
      <c r="D99" s="201" t="s">
        <v>17</v>
      </c>
      <c r="E99" s="207">
        <v>43208</v>
      </c>
      <c r="F99" s="207">
        <v>44669</v>
      </c>
      <c r="G99" s="208">
        <v>1500000</v>
      </c>
      <c r="H99" s="208">
        <v>7.7135142683982846E-2</v>
      </c>
      <c r="I99" s="280"/>
      <c r="J99" s="280"/>
      <c r="K99" s="280"/>
      <c r="L99" s="280"/>
      <c r="M99" s="280"/>
      <c r="N99" s="204"/>
    </row>
    <row r="100" spans="2:14" ht="15.95" customHeight="1" x14ac:dyDescent="0.25">
      <c r="B100" s="202"/>
      <c r="C100" s="201" t="s">
        <v>215</v>
      </c>
      <c r="D100" s="201" t="s">
        <v>61</v>
      </c>
      <c r="E100" s="207">
        <v>43276</v>
      </c>
      <c r="F100" s="207">
        <v>44445</v>
      </c>
      <c r="G100" s="208">
        <v>1168335</v>
      </c>
      <c r="H100" s="208">
        <v>0.14751996397972111</v>
      </c>
      <c r="I100" s="280"/>
      <c r="J100" s="280"/>
      <c r="K100" s="280"/>
      <c r="L100" s="280"/>
      <c r="M100" s="280"/>
      <c r="N100" s="204"/>
    </row>
    <row r="101" spans="2:14" ht="15.95" customHeight="1" x14ac:dyDescent="0.25">
      <c r="B101" s="202"/>
      <c r="C101" s="201" t="s">
        <v>196</v>
      </c>
      <c r="D101" s="201" t="s">
        <v>17</v>
      </c>
      <c r="E101" s="207">
        <v>43216</v>
      </c>
      <c r="F101" s="207">
        <v>44312</v>
      </c>
      <c r="G101" s="208">
        <v>200000</v>
      </c>
      <c r="H101" s="208">
        <v>7.1012201905250566E-2</v>
      </c>
      <c r="I101" s="280"/>
      <c r="J101" s="280"/>
      <c r="K101" s="280"/>
      <c r="L101" s="280"/>
      <c r="M101" s="280"/>
      <c r="N101" s="204"/>
    </row>
    <row r="102" spans="2:14" ht="15.95" customHeight="1" x14ac:dyDescent="0.25">
      <c r="B102" s="202"/>
      <c r="C102" s="201" t="s">
        <v>242</v>
      </c>
      <c r="D102" s="201" t="s">
        <v>17</v>
      </c>
      <c r="E102" s="207">
        <v>43552</v>
      </c>
      <c r="F102" s="207">
        <v>44648</v>
      </c>
      <c r="G102" s="208">
        <v>500000</v>
      </c>
      <c r="H102" s="208">
        <v>0.11461477875709536</v>
      </c>
      <c r="I102" s="280"/>
      <c r="J102" s="280"/>
      <c r="K102" s="280"/>
      <c r="L102" s="280"/>
      <c r="M102" s="280"/>
      <c r="N102" s="204"/>
    </row>
    <row r="103" spans="2:14" ht="15.95" customHeight="1" x14ac:dyDescent="0.25">
      <c r="B103" s="202"/>
      <c r="C103" s="201" t="s">
        <v>197</v>
      </c>
      <c r="D103" s="201" t="s">
        <v>17</v>
      </c>
      <c r="E103" s="207">
        <v>43194</v>
      </c>
      <c r="F103" s="207">
        <v>44292</v>
      </c>
      <c r="G103" s="208">
        <v>300000</v>
      </c>
      <c r="H103" s="208">
        <v>7.4266466498374942E-2</v>
      </c>
      <c r="I103" s="280"/>
      <c r="J103" s="280"/>
      <c r="K103" s="280"/>
      <c r="L103" s="280"/>
      <c r="M103" s="280"/>
      <c r="N103" s="204"/>
    </row>
    <row r="104" spans="2:14" ht="15.95" customHeight="1" x14ac:dyDescent="0.25">
      <c r="B104" s="202"/>
      <c r="C104" s="201" t="s">
        <v>252</v>
      </c>
      <c r="D104" s="201" t="s">
        <v>17</v>
      </c>
      <c r="E104" s="207">
        <v>43452</v>
      </c>
      <c r="F104" s="207">
        <v>44548</v>
      </c>
      <c r="G104" s="208">
        <v>150000</v>
      </c>
      <c r="H104" s="208">
        <v>0.10123774409294126</v>
      </c>
      <c r="I104" s="280"/>
      <c r="J104" s="280"/>
      <c r="K104" s="280"/>
      <c r="L104" s="280"/>
      <c r="M104" s="280"/>
      <c r="N104" s="204"/>
    </row>
    <row r="105" spans="2:14" ht="15.95" customHeight="1" x14ac:dyDescent="0.25">
      <c r="B105" s="202"/>
      <c r="C105" s="201" t="s">
        <v>199</v>
      </c>
      <c r="D105" s="201" t="s">
        <v>17</v>
      </c>
      <c r="E105" s="207">
        <v>43276</v>
      </c>
      <c r="F105" s="207">
        <v>44007</v>
      </c>
      <c r="G105" s="208">
        <v>500000</v>
      </c>
      <c r="H105" s="208">
        <v>7.381257712841037E-2</v>
      </c>
      <c r="I105" s="280"/>
      <c r="J105" s="280"/>
      <c r="K105" s="280"/>
      <c r="L105" s="280"/>
      <c r="M105" s="280"/>
      <c r="N105" s="204"/>
    </row>
    <row r="106" spans="2:14" ht="15.95" customHeight="1" x14ac:dyDescent="0.25">
      <c r="B106" s="202"/>
      <c r="C106" s="201" t="s">
        <v>200</v>
      </c>
      <c r="D106" s="201" t="s">
        <v>17</v>
      </c>
      <c r="E106" s="207">
        <v>43559</v>
      </c>
      <c r="F106" s="207">
        <v>44655</v>
      </c>
      <c r="G106" s="208">
        <v>150000</v>
      </c>
      <c r="H106" s="208">
        <v>9.2010995745658866E-2</v>
      </c>
      <c r="I106" s="280"/>
      <c r="J106" s="280"/>
      <c r="K106" s="280"/>
      <c r="L106" s="280"/>
      <c r="M106" s="280"/>
      <c r="N106" s="204"/>
    </row>
    <row r="107" spans="2:14" ht="15.95" customHeight="1" x14ac:dyDescent="0.25">
      <c r="B107" s="202"/>
      <c r="C107" s="201" t="s">
        <v>201</v>
      </c>
      <c r="D107" s="201" t="s">
        <v>17</v>
      </c>
      <c r="E107" s="207">
        <v>43140</v>
      </c>
      <c r="F107" s="207">
        <v>44236</v>
      </c>
      <c r="G107" s="208">
        <v>350000</v>
      </c>
      <c r="H107" s="208">
        <v>0.12550736069679261</v>
      </c>
      <c r="I107" s="280"/>
      <c r="J107" s="280"/>
      <c r="K107" s="280"/>
      <c r="L107" s="280"/>
      <c r="M107" s="280"/>
      <c r="N107" s="204"/>
    </row>
    <row r="108" spans="2:14" ht="15.95" customHeight="1" x14ac:dyDescent="0.25">
      <c r="B108" s="202"/>
      <c r="C108" s="201" t="s">
        <v>202</v>
      </c>
      <c r="D108" s="201" t="s">
        <v>17</v>
      </c>
      <c r="E108" s="207">
        <v>43168</v>
      </c>
      <c r="F108" s="207">
        <v>44264</v>
      </c>
      <c r="G108" s="208">
        <v>880000</v>
      </c>
      <c r="H108" s="208">
        <v>7.9779478907585161E-2</v>
      </c>
      <c r="I108" s="280"/>
      <c r="J108" s="280"/>
      <c r="K108" s="280"/>
      <c r="L108" s="280"/>
      <c r="M108" s="280"/>
      <c r="N108" s="204"/>
    </row>
    <row r="109" spans="2:14" ht="15.95" customHeight="1" x14ac:dyDescent="0.25">
      <c r="B109" s="202"/>
      <c r="C109" s="201" t="s">
        <v>205</v>
      </c>
      <c r="D109" s="201" t="s">
        <v>17</v>
      </c>
      <c r="E109" s="207">
        <v>43424</v>
      </c>
      <c r="F109" s="207">
        <v>44520</v>
      </c>
      <c r="G109" s="208">
        <v>150000</v>
      </c>
      <c r="H109" s="208">
        <v>9.9876040220260615E-2</v>
      </c>
      <c r="I109" s="280"/>
      <c r="J109" s="280"/>
      <c r="K109" s="280"/>
      <c r="L109" s="280"/>
      <c r="M109" s="280"/>
      <c r="N109" s="204"/>
    </row>
    <row r="110" spans="2:14" ht="15.95" customHeight="1" x14ac:dyDescent="0.25">
      <c r="B110" s="202"/>
      <c r="C110" s="201" t="s">
        <v>205</v>
      </c>
      <c r="D110" s="201" t="s">
        <v>17</v>
      </c>
      <c r="E110" s="207">
        <v>43424</v>
      </c>
      <c r="F110" s="207">
        <v>44520</v>
      </c>
      <c r="G110" s="208">
        <v>150000</v>
      </c>
      <c r="H110" s="431"/>
      <c r="I110" s="280"/>
      <c r="J110" s="280"/>
      <c r="K110" s="280"/>
      <c r="L110" s="280"/>
      <c r="M110" s="280"/>
      <c r="N110" s="204"/>
    </row>
    <row r="111" spans="2:14" ht="15.95" customHeight="1" x14ac:dyDescent="0.25">
      <c r="B111" s="202"/>
      <c r="C111" s="201" t="s">
        <v>203</v>
      </c>
      <c r="D111" s="201" t="s">
        <v>17</v>
      </c>
      <c r="E111" s="207">
        <v>43301</v>
      </c>
      <c r="F111" s="207">
        <v>44397</v>
      </c>
      <c r="G111" s="208">
        <v>200000</v>
      </c>
      <c r="H111" s="208">
        <v>9.4683817028999348E-2</v>
      </c>
      <c r="I111" s="280"/>
      <c r="J111" s="280"/>
      <c r="K111" s="280"/>
      <c r="L111" s="280"/>
      <c r="M111" s="280"/>
      <c r="N111" s="204"/>
    </row>
    <row r="112" spans="2:14" ht="15.95" customHeight="1" x14ac:dyDescent="0.25">
      <c r="B112" s="202"/>
      <c r="C112" s="201" t="s">
        <v>204</v>
      </c>
      <c r="D112" s="201" t="s">
        <v>17</v>
      </c>
      <c r="E112" s="207">
        <v>43411</v>
      </c>
      <c r="F112" s="207">
        <v>44872</v>
      </c>
      <c r="G112" s="208">
        <v>200000</v>
      </c>
      <c r="H112" s="208">
        <v>0.10381062626838686</v>
      </c>
      <c r="I112" s="280"/>
      <c r="J112" s="280"/>
      <c r="K112" s="280"/>
      <c r="L112" s="280"/>
      <c r="M112" s="280"/>
      <c r="N112" s="204"/>
    </row>
    <row r="113" spans="2:14" ht="15.95" customHeight="1" x14ac:dyDescent="0.25">
      <c r="B113" s="202"/>
      <c r="C113" s="201" t="s">
        <v>206</v>
      </c>
      <c r="D113" s="201" t="s">
        <v>17</v>
      </c>
      <c r="E113" s="207">
        <v>43455</v>
      </c>
      <c r="F113" s="207">
        <v>44186</v>
      </c>
      <c r="G113" s="208">
        <v>170000</v>
      </c>
      <c r="H113" s="208">
        <v>9.3080511689186102E-2</v>
      </c>
      <c r="I113" s="280"/>
      <c r="J113" s="280"/>
      <c r="K113" s="280"/>
      <c r="L113" s="280"/>
      <c r="M113" s="280"/>
      <c r="N113" s="204"/>
    </row>
    <row r="114" spans="2:14" ht="15.95" customHeight="1" x14ac:dyDescent="0.25">
      <c r="B114" s="202"/>
      <c r="C114" s="201" t="s">
        <v>207</v>
      </c>
      <c r="D114" s="201" t="s">
        <v>17</v>
      </c>
      <c r="E114" s="207">
        <v>43675</v>
      </c>
      <c r="F114" s="207">
        <v>44771</v>
      </c>
      <c r="G114" s="208">
        <v>100000</v>
      </c>
      <c r="H114" s="208">
        <v>8.6696067452430733E-2</v>
      </c>
      <c r="I114" s="280"/>
      <c r="J114" s="280"/>
      <c r="K114" s="280"/>
      <c r="L114" s="280"/>
      <c r="M114" s="280"/>
      <c r="N114" s="204"/>
    </row>
    <row r="115" spans="2:14" ht="15.95" customHeight="1" x14ac:dyDescent="0.25">
      <c r="B115" s="202"/>
      <c r="C115" s="201" t="s">
        <v>208</v>
      </c>
      <c r="D115" s="201" t="s">
        <v>17</v>
      </c>
      <c r="E115" s="207">
        <v>43356</v>
      </c>
      <c r="F115" s="207">
        <v>44452</v>
      </c>
      <c r="G115" s="208">
        <v>500000</v>
      </c>
      <c r="H115" s="208">
        <v>9.9510568380355824E-2</v>
      </c>
      <c r="I115" s="280"/>
      <c r="J115" s="280"/>
      <c r="K115" s="280"/>
      <c r="L115" s="280"/>
      <c r="M115" s="280"/>
      <c r="N115" s="204"/>
    </row>
    <row r="116" spans="2:14" ht="15.95" customHeight="1" x14ac:dyDescent="0.25">
      <c r="B116" s="202"/>
      <c r="C116" s="201" t="s">
        <v>209</v>
      </c>
      <c r="D116" s="201" t="s">
        <v>229</v>
      </c>
      <c r="E116" s="207">
        <v>43880</v>
      </c>
      <c r="F116" s="207">
        <v>44427</v>
      </c>
      <c r="G116" s="208">
        <v>7620411</v>
      </c>
      <c r="H116" s="208">
        <v>0.10920832753181456</v>
      </c>
      <c r="I116" s="280"/>
      <c r="J116" s="280"/>
      <c r="K116" s="280"/>
      <c r="L116" s="280"/>
      <c r="M116" s="280"/>
      <c r="N116" s="204"/>
    </row>
    <row r="117" spans="2:14" ht="15.95" customHeight="1" x14ac:dyDescent="0.25">
      <c r="B117" s="202"/>
      <c r="C117" s="201" t="s">
        <v>210</v>
      </c>
      <c r="D117" s="201" t="s">
        <v>17</v>
      </c>
      <c r="E117" s="207">
        <v>43322</v>
      </c>
      <c r="F117" s="207">
        <v>44053</v>
      </c>
      <c r="G117" s="208">
        <v>600000</v>
      </c>
      <c r="H117" s="208">
        <v>0.10111845135688782</v>
      </c>
      <c r="I117" s="280"/>
      <c r="J117" s="280"/>
      <c r="K117" s="280"/>
      <c r="L117" s="280"/>
      <c r="M117" s="280"/>
      <c r="N117" s="204"/>
    </row>
    <row r="118" spans="2:14" ht="15.95" customHeight="1" x14ac:dyDescent="0.25">
      <c r="B118" s="202"/>
      <c r="C118" s="201" t="s">
        <v>232</v>
      </c>
      <c r="D118" s="201" t="s">
        <v>17</v>
      </c>
      <c r="E118" s="207">
        <v>43441</v>
      </c>
      <c r="F118" s="207">
        <v>44172</v>
      </c>
      <c r="G118" s="208">
        <v>200000</v>
      </c>
      <c r="H118" s="208">
        <v>0.10111982226371766</v>
      </c>
      <c r="I118" s="280"/>
      <c r="J118" s="280"/>
      <c r="K118" s="280"/>
      <c r="L118" s="280"/>
      <c r="M118" s="280"/>
      <c r="N118" s="204"/>
    </row>
    <row r="119" spans="2:14" ht="15.95" customHeight="1" x14ac:dyDescent="0.25">
      <c r="B119" s="210"/>
      <c r="C119" s="201" t="s">
        <v>46</v>
      </c>
      <c r="D119" s="201" t="s">
        <v>17</v>
      </c>
      <c r="E119" s="207">
        <v>43217</v>
      </c>
      <c r="F119" s="207">
        <v>44313</v>
      </c>
      <c r="G119" s="208">
        <v>800000</v>
      </c>
      <c r="H119" s="208">
        <v>8.6802127957344058E-2</v>
      </c>
      <c r="I119" s="280"/>
      <c r="J119" s="280"/>
      <c r="K119" s="280"/>
      <c r="L119" s="280"/>
      <c r="M119" s="280"/>
      <c r="N119" s="212"/>
    </row>
    <row r="120" spans="2:14" ht="15.95" customHeight="1" x14ac:dyDescent="0.25">
      <c r="C120" s="211"/>
      <c r="D120" s="211"/>
      <c r="E120" s="211"/>
      <c r="F120" s="211"/>
      <c r="G120" s="211"/>
      <c r="H120" s="211"/>
      <c r="I120" s="211"/>
      <c r="J120" s="211"/>
      <c r="K120" s="211"/>
      <c r="L120" s="211"/>
      <c r="M120" s="211"/>
    </row>
    <row r="121" spans="2:14" ht="15.95" customHeight="1" x14ac:dyDescent="0.25"/>
  </sheetData>
  <mergeCells count="1">
    <mergeCell ref="K2:M2"/>
  </mergeCells>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tint="-0.499984740745262"/>
    <pageSetUpPr fitToPage="1"/>
  </sheetPr>
  <dimension ref="A1:Y76"/>
  <sheetViews>
    <sheetView topLeftCell="A31" workbookViewId="0">
      <selection activeCell="F40" sqref="F40"/>
    </sheetView>
  </sheetViews>
  <sheetFormatPr baseColWidth="10" defaultRowHeight="15" x14ac:dyDescent="0.25"/>
  <cols>
    <col min="1" max="2" width="2.7109375" style="165" customWidth="1"/>
    <col min="3" max="4" width="12.7109375" style="165" customWidth="1"/>
    <col min="5" max="5" width="2.7109375" style="165" customWidth="1"/>
    <col min="6" max="7" width="12.7109375" style="165" customWidth="1"/>
    <col min="8" max="9" width="2.7109375" style="165" customWidth="1"/>
    <col min="10" max="11" width="12.7109375" style="165" customWidth="1"/>
    <col min="12" max="12" width="2.7109375" style="165" customWidth="1"/>
    <col min="13" max="14" width="12.7109375" style="165" customWidth="1"/>
    <col min="15" max="16" width="2.7109375" style="165" customWidth="1"/>
    <col min="17" max="17" width="12.42578125" style="165" bestFit="1" customWidth="1"/>
    <col min="18" max="16384" width="11.42578125" style="165"/>
  </cols>
  <sheetData>
    <row r="1" spans="1:25" ht="9.9499999999999993" customHeight="1" x14ac:dyDescent="0.25">
      <c r="A1" s="317"/>
      <c r="B1" s="317"/>
      <c r="C1" s="317"/>
      <c r="D1" s="317"/>
      <c r="E1" s="317"/>
      <c r="F1" s="317"/>
      <c r="G1" s="317"/>
      <c r="H1" s="317"/>
      <c r="I1" s="317"/>
      <c r="J1" s="317"/>
      <c r="K1" s="317"/>
      <c r="L1" s="317"/>
      <c r="M1" s="317"/>
      <c r="N1" s="317"/>
      <c r="O1" s="317"/>
      <c r="P1" s="317"/>
      <c r="Q1" s="317"/>
      <c r="R1" s="317"/>
      <c r="S1" s="317"/>
      <c r="T1" s="317"/>
      <c r="U1" s="317"/>
      <c r="V1" s="317"/>
      <c r="W1" s="317"/>
      <c r="X1" s="317"/>
      <c r="Y1" s="317"/>
    </row>
    <row r="2" spans="1:25" x14ac:dyDescent="0.25">
      <c r="A2" s="317"/>
      <c r="B2" s="318"/>
      <c r="C2" s="319"/>
      <c r="D2" s="319"/>
      <c r="E2" s="319"/>
      <c r="F2" s="319"/>
      <c r="G2" s="319"/>
      <c r="H2" s="319"/>
      <c r="I2" s="319"/>
      <c r="J2" s="319"/>
      <c r="K2" s="319"/>
      <c r="L2" s="319"/>
      <c r="M2" s="319"/>
      <c r="N2" s="319"/>
      <c r="O2" s="320"/>
      <c r="P2" s="317"/>
      <c r="Q2" s="317"/>
      <c r="R2" s="317"/>
      <c r="S2" s="317"/>
      <c r="T2" s="317"/>
      <c r="U2" s="317"/>
      <c r="V2" s="317"/>
      <c r="W2" s="317"/>
      <c r="X2" s="317"/>
      <c r="Y2" s="317"/>
    </row>
    <row r="3" spans="1:25" ht="23.1" customHeight="1" x14ac:dyDescent="0.25">
      <c r="A3" s="317"/>
      <c r="B3" s="321"/>
      <c r="C3" s="185"/>
      <c r="D3" s="186"/>
      <c r="E3" s="186"/>
      <c r="F3" s="187"/>
      <c r="G3" s="317"/>
      <c r="H3" s="317"/>
      <c r="I3" s="317"/>
      <c r="J3" s="317"/>
      <c r="K3" s="604" t="s">
        <v>1</v>
      </c>
      <c r="L3" s="605"/>
      <c r="M3" s="605"/>
      <c r="N3" s="606"/>
      <c r="O3" s="322"/>
      <c r="P3" s="317"/>
      <c r="Q3" s="317"/>
      <c r="R3" s="317"/>
      <c r="S3" s="317"/>
      <c r="T3" s="317"/>
      <c r="U3" s="317"/>
      <c r="V3" s="317"/>
      <c r="W3" s="317"/>
      <c r="X3" s="317"/>
      <c r="Y3" s="317"/>
    </row>
    <row r="4" spans="1:25" ht="20.100000000000001" customHeight="1" x14ac:dyDescent="0.25">
      <c r="A4" s="317"/>
      <c r="B4" s="321"/>
      <c r="C4" s="188"/>
      <c r="D4" s="184"/>
      <c r="E4" s="184"/>
      <c r="F4" s="189"/>
      <c r="G4" s="317"/>
      <c r="H4" s="317"/>
      <c r="I4" s="317"/>
      <c r="J4" s="317"/>
      <c r="K4" s="607" t="s">
        <v>283</v>
      </c>
      <c r="L4" s="608"/>
      <c r="M4" s="608"/>
      <c r="N4" s="609"/>
      <c r="O4" s="322"/>
      <c r="P4" s="317"/>
      <c r="Q4" s="317"/>
      <c r="R4" s="317"/>
      <c r="S4" s="317"/>
      <c r="T4" s="317"/>
      <c r="U4" s="317"/>
      <c r="V4" s="317"/>
      <c r="W4" s="317"/>
      <c r="X4" s="317"/>
      <c r="Y4" s="317"/>
    </row>
    <row r="5" spans="1:25" ht="9.9499999999999993" customHeight="1" x14ac:dyDescent="0.25">
      <c r="A5" s="317"/>
      <c r="B5" s="321"/>
      <c r="C5" s="188"/>
      <c r="D5" s="184"/>
      <c r="E5" s="184"/>
      <c r="F5" s="189"/>
      <c r="G5" s="317"/>
      <c r="H5" s="317"/>
      <c r="I5" s="317"/>
      <c r="J5" s="317"/>
      <c r="K5" s="317"/>
      <c r="L5" s="317"/>
      <c r="M5" s="317"/>
      <c r="N5" s="317"/>
      <c r="O5" s="322"/>
      <c r="P5" s="317"/>
      <c r="Q5" s="317"/>
      <c r="R5" s="317"/>
      <c r="S5" s="317"/>
      <c r="T5" s="317"/>
      <c r="U5" s="317"/>
      <c r="V5" s="317"/>
      <c r="W5" s="317"/>
      <c r="X5" s="317"/>
      <c r="Y5" s="317"/>
    </row>
    <row r="6" spans="1:25" ht="15.95" customHeight="1" x14ac:dyDescent="0.25">
      <c r="A6" s="317"/>
      <c r="B6" s="321"/>
      <c r="C6" s="190"/>
      <c r="D6" s="191"/>
      <c r="E6" s="191"/>
      <c r="F6" s="192"/>
      <c r="G6" s="317"/>
      <c r="H6" s="317"/>
      <c r="I6" s="317"/>
      <c r="J6" s="317"/>
      <c r="K6" s="317"/>
      <c r="L6" s="317"/>
      <c r="M6" s="193" t="s">
        <v>0</v>
      </c>
      <c r="N6" s="323">
        <f>+Reporte!N6</f>
        <v>45861</v>
      </c>
      <c r="O6" s="322"/>
      <c r="P6" s="317"/>
      <c r="Q6" s="317"/>
      <c r="R6" s="317"/>
      <c r="S6" s="317"/>
      <c r="T6" s="317"/>
      <c r="U6" s="317"/>
      <c r="V6" s="317"/>
      <c r="W6" s="317"/>
      <c r="X6" s="317"/>
      <c r="Y6" s="317"/>
    </row>
    <row r="7" spans="1:25" x14ac:dyDescent="0.25">
      <c r="A7" s="317"/>
      <c r="B7" s="324"/>
      <c r="C7" s="325"/>
      <c r="D7" s="325"/>
      <c r="E7" s="325"/>
      <c r="F7" s="325"/>
      <c r="G7" s="325"/>
      <c r="H7" s="325"/>
      <c r="I7" s="325"/>
      <c r="J7" s="325"/>
      <c r="K7" s="325"/>
      <c r="L7" s="325"/>
      <c r="M7" s="325"/>
      <c r="N7" s="325"/>
      <c r="O7" s="326"/>
      <c r="P7" s="317"/>
      <c r="Q7" s="317"/>
      <c r="R7" s="317"/>
      <c r="S7" s="317"/>
      <c r="T7" s="317"/>
      <c r="U7" s="317"/>
      <c r="V7" s="317"/>
      <c r="W7" s="317"/>
      <c r="X7" s="317"/>
      <c r="Y7" s="317"/>
    </row>
    <row r="8" spans="1:25" ht="15.95" customHeight="1" x14ac:dyDescent="0.25">
      <c r="A8" s="317"/>
      <c r="B8" s="327"/>
      <c r="C8" s="328"/>
      <c r="D8" s="328"/>
      <c r="E8" s="328"/>
      <c r="F8" s="328"/>
      <c r="G8" s="328"/>
      <c r="H8" s="328"/>
      <c r="I8" s="329"/>
      <c r="J8" s="328"/>
      <c r="K8" s="328"/>
      <c r="L8" s="328"/>
      <c r="M8" s="328"/>
      <c r="N8" s="328"/>
      <c r="O8" s="330"/>
      <c r="P8" s="317"/>
      <c r="Q8" s="317"/>
      <c r="R8" s="317"/>
      <c r="S8" s="317"/>
      <c r="T8" s="317"/>
      <c r="U8" s="317"/>
      <c r="V8" s="317"/>
      <c r="W8" s="317"/>
      <c r="X8" s="317"/>
      <c r="Y8" s="317"/>
    </row>
    <row r="9" spans="1:25" ht="8.1" customHeight="1" x14ac:dyDescent="0.25">
      <c r="A9" s="317"/>
      <c r="B9" s="331"/>
      <c r="C9" s="332"/>
      <c r="D9" s="328"/>
      <c r="E9" s="328"/>
      <c r="F9" s="328"/>
      <c r="G9" s="330"/>
      <c r="H9" s="333"/>
      <c r="I9" s="334"/>
      <c r="J9" s="332"/>
      <c r="K9" s="328"/>
      <c r="L9" s="328"/>
      <c r="M9" s="328"/>
      <c r="N9" s="330"/>
      <c r="O9" s="335"/>
      <c r="P9" s="317"/>
      <c r="Q9" s="317"/>
      <c r="R9" s="317"/>
      <c r="S9" s="317"/>
      <c r="T9" s="317"/>
      <c r="U9" s="317"/>
      <c r="V9" s="317"/>
      <c r="W9" s="317"/>
      <c r="X9" s="317"/>
      <c r="Y9" s="317"/>
    </row>
    <row r="10" spans="1:25" ht="20.100000000000001" customHeight="1" x14ac:dyDescent="0.25">
      <c r="A10" s="317"/>
      <c r="B10" s="336"/>
      <c r="C10" s="610" t="s">
        <v>264</v>
      </c>
      <c r="D10" s="611"/>
      <c r="E10" s="611"/>
      <c r="F10" s="611"/>
      <c r="G10" s="612"/>
      <c r="H10" s="333"/>
      <c r="I10" s="334"/>
      <c r="J10" s="610" t="s">
        <v>28</v>
      </c>
      <c r="K10" s="611"/>
      <c r="L10" s="611"/>
      <c r="M10" s="611"/>
      <c r="N10" s="612"/>
      <c r="O10" s="335"/>
      <c r="P10" s="317"/>
      <c r="Q10" s="317"/>
      <c r="R10" s="317"/>
      <c r="S10" s="317"/>
      <c r="T10" s="317"/>
      <c r="U10" s="317"/>
      <c r="V10" s="317"/>
      <c r="W10" s="317"/>
      <c r="X10" s="317"/>
      <c r="Y10" s="317"/>
    </row>
    <row r="11" spans="1:25" ht="9.9499999999999993" customHeight="1" x14ac:dyDescent="0.25">
      <c r="A11" s="317"/>
      <c r="B11" s="336"/>
      <c r="C11" s="336"/>
      <c r="D11" s="333"/>
      <c r="E11" s="333"/>
      <c r="F11" s="333"/>
      <c r="G11" s="335"/>
      <c r="H11" s="333"/>
      <c r="I11" s="334"/>
      <c r="J11" s="336"/>
      <c r="K11" s="333"/>
      <c r="L11" s="333"/>
      <c r="M11" s="333"/>
      <c r="N11" s="335"/>
      <c r="O11" s="335"/>
      <c r="P11" s="317"/>
      <c r="Q11" s="317"/>
      <c r="R11" s="317"/>
      <c r="S11" s="317"/>
      <c r="T11" s="317"/>
      <c r="U11" s="317"/>
      <c r="V11" s="317"/>
      <c r="W11" s="317"/>
      <c r="X11" s="317"/>
      <c r="Y11" s="317"/>
    </row>
    <row r="12" spans="1:25" ht="9.9499999999999993" customHeight="1" x14ac:dyDescent="0.25">
      <c r="A12" s="317"/>
      <c r="B12" s="336"/>
      <c r="C12" s="337"/>
      <c r="D12" s="338"/>
      <c r="E12" s="333"/>
      <c r="F12" s="339"/>
      <c r="G12" s="340"/>
      <c r="H12" s="333"/>
      <c r="I12" s="334"/>
      <c r="J12" s="337"/>
      <c r="K12" s="338"/>
      <c r="L12" s="333"/>
      <c r="M12" s="339"/>
      <c r="N12" s="340"/>
      <c r="O12" s="335"/>
      <c r="P12" s="317"/>
      <c r="Q12" s="317"/>
      <c r="R12" s="317"/>
      <c r="S12" s="317"/>
      <c r="T12" s="317"/>
      <c r="U12" s="317"/>
      <c r="V12" s="317"/>
      <c r="W12" s="317"/>
      <c r="X12" s="317"/>
      <c r="Y12" s="317"/>
    </row>
    <row r="13" spans="1:25" ht="15.95" customHeight="1" x14ac:dyDescent="0.25">
      <c r="A13" s="317"/>
      <c r="B13" s="336"/>
      <c r="C13" s="613" t="s">
        <v>18</v>
      </c>
      <c r="D13" s="614"/>
      <c r="E13" s="333"/>
      <c r="F13" s="615" t="s">
        <v>49</v>
      </c>
      <c r="G13" s="616"/>
      <c r="H13" s="333"/>
      <c r="I13" s="334"/>
      <c r="J13" s="613" t="s">
        <v>18</v>
      </c>
      <c r="K13" s="614"/>
      <c r="L13" s="333"/>
      <c r="M13" s="615" t="s">
        <v>49</v>
      </c>
      <c r="N13" s="616"/>
      <c r="O13" s="335"/>
      <c r="P13" s="317"/>
      <c r="Q13" s="317"/>
      <c r="R13" s="317"/>
      <c r="S13" s="317"/>
      <c r="T13" s="317"/>
      <c r="U13" s="317"/>
      <c r="V13" s="317"/>
      <c r="W13" s="317"/>
      <c r="X13" s="317"/>
      <c r="Y13" s="317"/>
    </row>
    <row r="14" spans="1:25" ht="15.95" customHeight="1" x14ac:dyDescent="0.25">
      <c r="A14" s="317"/>
      <c r="B14" s="336"/>
      <c r="C14" s="584">
        <f ca="1">+COUNTA(ARS!$B:$B)-COUNTIF(ARS!$J:$J,"vencida")</f>
        <v>3</v>
      </c>
      <c r="D14" s="585"/>
      <c r="E14" s="333"/>
      <c r="F14" s="588">
        <f>+COUNTA(USD!$B:$B)-COUNTIF(USD!$J:$J,"vencida")</f>
        <v>4</v>
      </c>
      <c r="G14" s="589"/>
      <c r="H14" s="333"/>
      <c r="I14" s="334"/>
      <c r="J14" s="592">
        <f ca="1">+SUMIF(ARS!H:H,"Valor Residual",ARS!J:J)</f>
        <v>200000000.18928754</v>
      </c>
      <c r="K14" s="593"/>
      <c r="L14" s="333"/>
      <c r="M14" s="596">
        <f>+SUMIF(USD!H:H,"Valor Residual",USD!J:J)</f>
        <v>5480470.3133333325</v>
      </c>
      <c r="N14" s="597"/>
      <c r="O14" s="335"/>
      <c r="P14" s="317"/>
      <c r="Q14" s="341"/>
      <c r="R14" s="317"/>
      <c r="S14" s="317"/>
      <c r="T14" s="317"/>
      <c r="U14" s="317"/>
      <c r="V14" s="317"/>
      <c r="W14" s="317"/>
      <c r="X14" s="317"/>
      <c r="Y14" s="317"/>
    </row>
    <row r="15" spans="1:25" ht="15.95" customHeight="1" x14ac:dyDescent="0.25">
      <c r="A15" s="317"/>
      <c r="B15" s="336"/>
      <c r="C15" s="586"/>
      <c r="D15" s="587"/>
      <c r="E15" s="333"/>
      <c r="F15" s="590"/>
      <c r="G15" s="591"/>
      <c r="H15" s="333"/>
      <c r="I15" s="334"/>
      <c r="J15" s="594"/>
      <c r="K15" s="595"/>
      <c r="L15" s="333"/>
      <c r="M15" s="598"/>
      <c r="N15" s="599"/>
      <c r="O15" s="335"/>
      <c r="P15" s="317"/>
      <c r="Q15" s="317"/>
      <c r="R15" s="317"/>
      <c r="S15" s="317"/>
      <c r="T15" s="317"/>
      <c r="U15" s="317"/>
      <c r="V15" s="317"/>
      <c r="W15" s="317"/>
      <c r="X15" s="317"/>
      <c r="Y15" s="317"/>
    </row>
    <row r="16" spans="1:25" ht="9.9499999999999993" customHeight="1" x14ac:dyDescent="0.25">
      <c r="A16" s="317"/>
      <c r="B16" s="336"/>
      <c r="C16" s="336"/>
      <c r="D16" s="333"/>
      <c r="E16" s="333"/>
      <c r="F16" s="333"/>
      <c r="G16" s="335"/>
      <c r="H16" s="333"/>
      <c r="I16" s="334"/>
      <c r="J16" s="336"/>
      <c r="K16" s="333"/>
      <c r="L16" s="333"/>
      <c r="M16" s="333"/>
      <c r="N16" s="335"/>
      <c r="O16" s="335"/>
      <c r="P16" s="317"/>
      <c r="Q16" s="317"/>
      <c r="R16" s="317"/>
      <c r="S16" s="317"/>
      <c r="T16" s="317"/>
      <c r="U16" s="317"/>
      <c r="V16" s="317"/>
      <c r="W16" s="317"/>
      <c r="X16" s="317"/>
      <c r="Y16" s="317"/>
    </row>
    <row r="17" spans="1:25" ht="15.95" customHeight="1" x14ac:dyDescent="0.25">
      <c r="A17" s="317"/>
      <c r="B17" s="336"/>
      <c r="C17" s="600" t="s">
        <v>263</v>
      </c>
      <c r="D17" s="600"/>
      <c r="E17" s="600"/>
      <c r="F17" s="602">
        <f ca="1">+C14+F14</f>
        <v>7</v>
      </c>
      <c r="G17" s="602"/>
      <c r="H17" s="333"/>
      <c r="I17" s="334"/>
      <c r="J17" s="600" t="s">
        <v>265</v>
      </c>
      <c r="K17" s="600"/>
      <c r="L17" s="600"/>
      <c r="M17" s="619">
        <f ca="1">+J14+M14*VLOOKUP(WORKDAY.INTL($N$6,-1,1),'Tasas-TC'!A:C,3,FALSE)</f>
        <v>6536355362.3558865</v>
      </c>
      <c r="N17" s="619"/>
      <c r="O17" s="335"/>
      <c r="P17" s="317"/>
      <c r="Q17" s="342"/>
      <c r="R17" s="317"/>
      <c r="S17" s="317"/>
      <c r="T17" s="317"/>
      <c r="U17" s="317"/>
      <c r="V17" s="317"/>
      <c r="W17" s="317"/>
      <c r="X17" s="317"/>
      <c r="Y17" s="317"/>
    </row>
    <row r="18" spans="1:25" ht="15.95" customHeight="1" x14ac:dyDescent="0.25">
      <c r="A18" s="317"/>
      <c r="B18" s="336"/>
      <c r="C18" s="601"/>
      <c r="D18" s="601"/>
      <c r="E18" s="601"/>
      <c r="F18" s="603"/>
      <c r="G18" s="603"/>
      <c r="H18" s="333"/>
      <c r="I18" s="334"/>
      <c r="J18" s="601"/>
      <c r="K18" s="601"/>
      <c r="L18" s="601"/>
      <c r="M18" s="620"/>
      <c r="N18" s="620"/>
      <c r="O18" s="335"/>
      <c r="P18" s="317"/>
      <c r="Q18" s="317"/>
      <c r="R18" s="317"/>
      <c r="S18" s="317"/>
      <c r="T18" s="317"/>
      <c r="U18" s="317"/>
      <c r="V18" s="317"/>
      <c r="W18" s="317"/>
      <c r="X18" s="317"/>
      <c r="Y18" s="317"/>
    </row>
    <row r="19" spans="1:25" ht="9.9499999999999993" customHeight="1" x14ac:dyDescent="0.25">
      <c r="A19" s="317"/>
      <c r="B19" s="336"/>
      <c r="C19" s="343"/>
      <c r="D19" s="344"/>
      <c r="E19" s="344"/>
      <c r="F19" s="344"/>
      <c r="G19" s="345"/>
      <c r="H19" s="333"/>
      <c r="I19" s="334"/>
      <c r="J19" s="343"/>
      <c r="K19" s="344"/>
      <c r="L19" s="344"/>
      <c r="M19" s="344"/>
      <c r="N19" s="345"/>
      <c r="O19" s="335"/>
      <c r="P19" s="317"/>
      <c r="Q19" s="317"/>
      <c r="R19" s="317"/>
      <c r="S19" s="317"/>
      <c r="T19" s="317"/>
      <c r="U19" s="317"/>
      <c r="V19" s="317"/>
      <c r="W19" s="317"/>
      <c r="X19" s="317"/>
      <c r="Y19" s="317"/>
    </row>
    <row r="20" spans="1:25" ht="15.95" customHeight="1" x14ac:dyDescent="0.25">
      <c r="A20" s="317"/>
      <c r="B20" s="346"/>
      <c r="C20" s="346"/>
      <c r="D20" s="347"/>
      <c r="E20" s="347"/>
      <c r="F20" s="347"/>
      <c r="G20" s="348"/>
      <c r="H20" s="347"/>
      <c r="I20" s="349"/>
      <c r="J20" s="350">
        <f ca="1">+M17-J14</f>
        <v>6336355362.1665993</v>
      </c>
      <c r="K20" s="347"/>
      <c r="L20" s="347"/>
      <c r="M20" s="347"/>
      <c r="N20" s="335"/>
      <c r="O20" s="335"/>
      <c r="P20" s="317"/>
      <c r="Q20" s="317"/>
      <c r="R20" s="317"/>
      <c r="S20" s="317"/>
      <c r="T20" s="317"/>
      <c r="U20" s="317"/>
      <c r="V20" s="317"/>
      <c r="W20" s="317"/>
      <c r="X20" s="317"/>
      <c r="Y20" s="317"/>
    </row>
    <row r="21" spans="1:25" ht="15.95" customHeight="1" x14ac:dyDescent="0.25">
      <c r="A21" s="317"/>
      <c r="B21" s="336"/>
      <c r="C21" s="336"/>
      <c r="D21" s="333"/>
      <c r="E21" s="333"/>
      <c r="F21" s="333"/>
      <c r="G21" s="335"/>
      <c r="H21" s="333"/>
      <c r="I21" s="334"/>
      <c r="J21" s="336"/>
      <c r="K21" s="333"/>
      <c r="L21" s="333"/>
      <c r="M21" s="333"/>
      <c r="N21" s="335"/>
      <c r="O21" s="335"/>
      <c r="P21" s="317"/>
      <c r="Q21" s="317"/>
      <c r="R21" s="317"/>
      <c r="S21" s="317"/>
      <c r="T21" s="317"/>
      <c r="U21" s="317"/>
      <c r="V21" s="317"/>
      <c r="W21" s="317"/>
      <c r="X21" s="317"/>
      <c r="Y21" s="317"/>
    </row>
    <row r="22" spans="1:25" ht="15.95" customHeight="1" x14ac:dyDescent="0.25">
      <c r="A22" s="317"/>
      <c r="B22" s="336"/>
      <c r="C22" s="336"/>
      <c r="D22" s="333"/>
      <c r="E22" s="333"/>
      <c r="F22" s="333"/>
      <c r="G22" s="335"/>
      <c r="H22" s="333"/>
      <c r="I22" s="334"/>
      <c r="J22" s="336"/>
      <c r="K22" s="333"/>
      <c r="L22" s="333"/>
      <c r="M22" s="333"/>
      <c r="N22" s="335"/>
      <c r="O22" s="335"/>
      <c r="P22" s="317"/>
      <c r="Q22" s="317"/>
      <c r="R22" s="317"/>
      <c r="S22" s="317"/>
      <c r="T22" s="317"/>
      <c r="U22" s="317"/>
      <c r="V22" s="317"/>
      <c r="W22" s="317"/>
      <c r="X22" s="317"/>
      <c r="Y22" s="317"/>
    </row>
    <row r="23" spans="1:25" ht="15.95" customHeight="1" x14ac:dyDescent="0.25">
      <c r="A23" s="317"/>
      <c r="B23" s="336"/>
      <c r="C23" s="336"/>
      <c r="D23" s="333"/>
      <c r="E23" s="333"/>
      <c r="F23" s="333"/>
      <c r="G23" s="335"/>
      <c r="H23" s="333"/>
      <c r="I23" s="334"/>
      <c r="J23" s="336"/>
      <c r="K23" s="333"/>
      <c r="L23" s="333"/>
      <c r="M23" s="333"/>
      <c r="N23" s="335"/>
      <c r="O23" s="335"/>
      <c r="P23" s="317"/>
      <c r="Q23" s="317"/>
      <c r="R23" s="317"/>
      <c r="S23" s="317"/>
      <c r="T23" s="317"/>
      <c r="U23" s="317"/>
      <c r="V23" s="317"/>
      <c r="W23" s="317"/>
      <c r="X23" s="317"/>
      <c r="Y23" s="317"/>
    </row>
    <row r="24" spans="1:25" ht="15.95" customHeight="1" x14ac:dyDescent="0.25">
      <c r="A24" s="317"/>
      <c r="B24" s="336"/>
      <c r="C24" s="336"/>
      <c r="D24" s="333"/>
      <c r="E24" s="333"/>
      <c r="F24" s="333"/>
      <c r="G24" s="335"/>
      <c r="H24" s="333"/>
      <c r="I24" s="334"/>
      <c r="J24" s="336"/>
      <c r="K24" s="333"/>
      <c r="L24" s="333"/>
      <c r="M24" s="333"/>
      <c r="N24" s="335"/>
      <c r="O24" s="335"/>
      <c r="P24" s="317"/>
      <c r="Q24" s="317"/>
      <c r="R24" s="317"/>
      <c r="S24" s="317"/>
      <c r="T24" s="317"/>
      <c r="U24" s="317"/>
      <c r="V24" s="317"/>
      <c r="W24" s="317"/>
      <c r="X24" s="317"/>
      <c r="Y24" s="317"/>
    </row>
    <row r="25" spans="1:25" ht="15.95" customHeight="1" x14ac:dyDescent="0.25">
      <c r="A25" s="317"/>
      <c r="B25" s="336"/>
      <c r="C25" s="336"/>
      <c r="D25" s="333"/>
      <c r="E25" s="333"/>
      <c r="F25" s="333"/>
      <c r="G25" s="335"/>
      <c r="H25" s="333"/>
      <c r="I25" s="334"/>
      <c r="J25" s="336"/>
      <c r="K25" s="333"/>
      <c r="L25" s="333"/>
      <c r="M25" s="333"/>
      <c r="N25" s="335"/>
      <c r="O25" s="335"/>
      <c r="P25" s="317"/>
      <c r="Q25" s="317"/>
      <c r="R25" s="317"/>
      <c r="S25" s="317"/>
      <c r="T25" s="317"/>
      <c r="U25" s="317"/>
      <c r="V25" s="317"/>
      <c r="W25" s="317"/>
      <c r="X25" s="317"/>
      <c r="Y25" s="317"/>
    </row>
    <row r="26" spans="1:25" ht="15.95" customHeight="1" x14ac:dyDescent="0.25">
      <c r="A26" s="317"/>
      <c r="B26" s="336"/>
      <c r="C26" s="336"/>
      <c r="D26" s="333"/>
      <c r="E26" s="333"/>
      <c r="F26" s="333"/>
      <c r="G26" s="335"/>
      <c r="H26" s="333"/>
      <c r="I26" s="334"/>
      <c r="J26" s="336"/>
      <c r="K26" s="333"/>
      <c r="L26" s="333"/>
      <c r="M26" s="333"/>
      <c r="N26" s="335"/>
      <c r="O26" s="335"/>
      <c r="P26" s="317"/>
      <c r="Q26" s="317"/>
      <c r="R26" s="317"/>
      <c r="S26" s="317"/>
      <c r="T26" s="317"/>
      <c r="U26" s="317"/>
      <c r="V26" s="317"/>
      <c r="W26" s="317"/>
      <c r="X26" s="317"/>
      <c r="Y26" s="317"/>
    </row>
    <row r="27" spans="1:25" ht="15.95" customHeight="1" x14ac:dyDescent="0.25">
      <c r="A27" s="317"/>
      <c r="B27" s="336"/>
      <c r="C27" s="336"/>
      <c r="D27" s="333"/>
      <c r="E27" s="333"/>
      <c r="F27" s="333"/>
      <c r="G27" s="335"/>
      <c r="H27" s="333"/>
      <c r="I27" s="334"/>
      <c r="J27" s="336"/>
      <c r="K27" s="333"/>
      <c r="L27" s="333"/>
      <c r="M27" s="333"/>
      <c r="N27" s="335"/>
      <c r="O27" s="335"/>
      <c r="P27" s="317"/>
      <c r="Q27" s="317"/>
      <c r="R27" s="317"/>
      <c r="S27" s="317"/>
      <c r="T27" s="317"/>
      <c r="U27" s="317"/>
      <c r="V27" s="317"/>
      <c r="W27" s="317"/>
      <c r="X27" s="317"/>
      <c r="Y27" s="317"/>
    </row>
    <row r="28" spans="1:25" ht="15.95" customHeight="1" x14ac:dyDescent="0.25">
      <c r="A28" s="317"/>
      <c r="B28" s="336"/>
      <c r="C28" s="336"/>
      <c r="D28" s="333"/>
      <c r="E28" s="333"/>
      <c r="F28" s="333"/>
      <c r="G28" s="335"/>
      <c r="H28" s="333"/>
      <c r="I28" s="334"/>
      <c r="J28" s="336"/>
      <c r="K28" s="333"/>
      <c r="L28" s="333"/>
      <c r="M28" s="333"/>
      <c r="N28" s="335"/>
      <c r="O28" s="335"/>
      <c r="P28" s="317"/>
      <c r="Q28" s="317"/>
      <c r="R28" s="317"/>
      <c r="S28" s="317"/>
      <c r="T28" s="317"/>
      <c r="U28" s="317"/>
      <c r="V28" s="317"/>
      <c r="W28" s="317"/>
      <c r="X28" s="317"/>
      <c r="Y28" s="317"/>
    </row>
    <row r="29" spans="1:25" ht="15.95" customHeight="1" x14ac:dyDescent="0.25">
      <c r="A29" s="317"/>
      <c r="B29" s="336"/>
      <c r="C29" s="336"/>
      <c r="D29" s="333"/>
      <c r="E29" s="333"/>
      <c r="F29" s="333"/>
      <c r="G29" s="335"/>
      <c r="H29" s="333"/>
      <c r="I29" s="334"/>
      <c r="J29" s="336"/>
      <c r="K29" s="333"/>
      <c r="L29" s="333"/>
      <c r="M29" s="333"/>
      <c r="N29" s="335"/>
      <c r="O29" s="335"/>
      <c r="P29" s="317"/>
      <c r="Q29" s="317"/>
      <c r="R29" s="317"/>
      <c r="S29" s="317"/>
      <c r="T29" s="317"/>
      <c r="U29" s="317"/>
      <c r="V29" s="317"/>
      <c r="W29" s="317"/>
      <c r="X29" s="317"/>
      <c r="Y29" s="317"/>
    </row>
    <row r="30" spans="1:25" ht="15.95" customHeight="1" x14ac:dyDescent="0.25">
      <c r="A30" s="317"/>
      <c r="B30" s="336"/>
      <c r="C30" s="351"/>
      <c r="D30" s="352"/>
      <c r="E30" s="352"/>
      <c r="F30" s="352"/>
      <c r="G30" s="353"/>
      <c r="H30" s="333"/>
      <c r="I30" s="334"/>
      <c r="J30" s="351"/>
      <c r="K30" s="352"/>
      <c r="L30" s="352"/>
      <c r="M30" s="352"/>
      <c r="N30" s="353"/>
      <c r="O30" s="335"/>
      <c r="P30" s="317"/>
      <c r="Q30" s="317"/>
      <c r="R30" s="317"/>
      <c r="S30" s="317"/>
      <c r="T30" s="317"/>
      <c r="U30" s="317"/>
      <c r="V30" s="317"/>
      <c r="W30" s="317"/>
      <c r="X30" s="317"/>
      <c r="Y30" s="317"/>
    </row>
    <row r="31" spans="1:25" ht="15.95" customHeight="1" x14ac:dyDescent="0.25">
      <c r="A31" s="317"/>
      <c r="B31" s="354"/>
      <c r="C31" s="355"/>
      <c r="D31" s="355"/>
      <c r="E31" s="355"/>
      <c r="F31" s="355"/>
      <c r="G31" s="355"/>
      <c r="H31" s="355"/>
      <c r="I31" s="356"/>
      <c r="J31" s="355"/>
      <c r="K31" s="355"/>
      <c r="L31" s="355"/>
      <c r="M31" s="355"/>
      <c r="N31" s="355"/>
      <c r="O31" s="357"/>
      <c r="P31" s="317"/>
      <c r="Q31" s="317"/>
      <c r="R31" s="317"/>
      <c r="S31" s="317"/>
      <c r="T31" s="317"/>
      <c r="U31" s="317"/>
      <c r="V31" s="317"/>
      <c r="W31" s="317"/>
      <c r="X31" s="317"/>
      <c r="Y31" s="317"/>
    </row>
    <row r="32" spans="1:25" ht="15.95" customHeight="1" x14ac:dyDescent="0.25">
      <c r="A32" s="317"/>
      <c r="B32" s="336"/>
      <c r="C32" s="333"/>
      <c r="D32" s="333"/>
      <c r="E32" s="333"/>
      <c r="F32" s="333"/>
      <c r="G32" s="333"/>
      <c r="H32" s="333"/>
      <c r="I32" s="333"/>
      <c r="J32" s="333"/>
      <c r="K32" s="333"/>
      <c r="L32" s="333"/>
      <c r="M32" s="333"/>
      <c r="N32" s="333"/>
      <c r="O32" s="335"/>
      <c r="P32" s="317"/>
      <c r="Q32" s="317"/>
      <c r="R32" s="317"/>
      <c r="S32" s="317"/>
      <c r="T32" s="317"/>
      <c r="U32" s="317"/>
      <c r="V32" s="317"/>
      <c r="W32" s="317"/>
      <c r="X32" s="317"/>
      <c r="Y32" s="317"/>
    </row>
    <row r="33" spans="1:25" ht="20.100000000000001" customHeight="1" x14ac:dyDescent="0.25">
      <c r="A33" s="317"/>
      <c r="B33" s="610" t="s">
        <v>266</v>
      </c>
      <c r="C33" s="611"/>
      <c r="D33" s="611"/>
      <c r="E33" s="611"/>
      <c r="F33" s="611"/>
      <c r="G33" s="611"/>
      <c r="H33" s="611"/>
      <c r="I33" s="611"/>
      <c r="J33" s="611"/>
      <c r="K33" s="611"/>
      <c r="L33" s="611"/>
      <c r="M33" s="611"/>
      <c r="N33" s="611"/>
      <c r="O33" s="612"/>
      <c r="P33" s="317"/>
      <c r="Q33" s="317"/>
      <c r="R33" s="317"/>
      <c r="S33" s="317"/>
      <c r="T33" s="317"/>
      <c r="U33" s="317"/>
      <c r="V33" s="317"/>
      <c r="W33" s="317"/>
      <c r="X33" s="317"/>
      <c r="Y33" s="317"/>
    </row>
    <row r="34" spans="1:25" ht="15.95" customHeight="1" x14ac:dyDescent="0.25">
      <c r="A34" s="317"/>
      <c r="B34" s="336"/>
      <c r="C34" s="333"/>
      <c r="D34" s="333"/>
      <c r="E34" s="333"/>
      <c r="F34" s="333"/>
      <c r="G34" s="333"/>
      <c r="H34" s="333"/>
      <c r="I34" s="333"/>
      <c r="J34" s="333"/>
      <c r="K34" s="333"/>
      <c r="L34" s="333"/>
      <c r="M34" s="333"/>
      <c r="N34" s="333"/>
      <c r="O34" s="335"/>
      <c r="P34" s="317"/>
      <c r="Q34" s="317"/>
      <c r="R34" s="317"/>
      <c r="S34" s="317"/>
      <c r="T34" s="317"/>
      <c r="U34" s="317"/>
      <c r="V34" s="317"/>
      <c r="W34" s="317"/>
      <c r="X34" s="317"/>
      <c r="Y34" s="317"/>
    </row>
    <row r="35" spans="1:25" ht="9.9499999999999993" customHeight="1" x14ac:dyDescent="0.25">
      <c r="A35" s="317"/>
      <c r="B35" s="336"/>
      <c r="C35" s="358"/>
      <c r="D35" s="328"/>
      <c r="E35" s="328"/>
      <c r="F35" s="328"/>
      <c r="G35" s="328"/>
      <c r="H35" s="328"/>
      <c r="I35" s="328"/>
      <c r="J35" s="328"/>
      <c r="K35" s="328"/>
      <c r="L35" s="328"/>
      <c r="M35" s="328"/>
      <c r="N35" s="330"/>
      <c r="O35" s="335"/>
      <c r="P35" s="317"/>
      <c r="Q35" s="317"/>
      <c r="R35" s="317"/>
      <c r="S35" s="317"/>
      <c r="T35" s="317"/>
      <c r="U35" s="317"/>
      <c r="V35" s="317"/>
      <c r="W35" s="317"/>
      <c r="X35" s="317"/>
      <c r="Y35" s="317"/>
    </row>
    <row r="36" spans="1:25" ht="18" customHeight="1" x14ac:dyDescent="0.25">
      <c r="A36" s="317"/>
      <c r="B36" s="336"/>
      <c r="C36" s="623" t="s">
        <v>269</v>
      </c>
      <c r="D36" s="624"/>
      <c r="E36" s="624"/>
      <c r="F36" s="624"/>
      <c r="G36" s="333"/>
      <c r="H36" s="333"/>
      <c r="I36" s="333"/>
      <c r="J36" s="333"/>
      <c r="K36" s="333"/>
      <c r="L36" s="333"/>
      <c r="M36" s="333"/>
      <c r="N36" s="335"/>
      <c r="O36" s="335"/>
      <c r="P36" s="317"/>
      <c r="Q36" s="317"/>
      <c r="R36" s="317"/>
      <c r="S36" s="317"/>
      <c r="T36" s="317"/>
      <c r="U36" s="317"/>
      <c r="V36" s="317"/>
      <c r="W36" s="317"/>
      <c r="X36" s="317"/>
      <c r="Y36" s="317"/>
    </row>
    <row r="37" spans="1:25" ht="9.9499999999999993" customHeight="1" x14ac:dyDescent="0.25">
      <c r="A37" s="317"/>
      <c r="B37" s="336"/>
      <c r="C37" s="359"/>
      <c r="D37" s="360"/>
      <c r="E37" s="333"/>
      <c r="F37" s="332"/>
      <c r="G37" s="361"/>
      <c r="H37" s="333"/>
      <c r="I37" s="617"/>
      <c r="J37" s="618"/>
      <c r="K37" s="333"/>
      <c r="L37" s="333"/>
      <c r="M37" s="333"/>
      <c r="N37" s="335"/>
      <c r="O37" s="335"/>
      <c r="P37" s="317"/>
      <c r="Q37" s="317"/>
      <c r="R37" s="317"/>
      <c r="S37" s="317"/>
      <c r="T37" s="317"/>
      <c r="U37" s="317"/>
      <c r="V37" s="317"/>
      <c r="W37" s="317"/>
      <c r="X37" s="317"/>
      <c r="Y37" s="317"/>
    </row>
    <row r="38" spans="1:25" ht="15.95" customHeight="1" x14ac:dyDescent="0.25">
      <c r="A38" s="317"/>
      <c r="B38" s="336"/>
      <c r="C38" s="336"/>
      <c r="D38" s="333"/>
      <c r="E38" s="333"/>
      <c r="F38" s="279" t="s">
        <v>18</v>
      </c>
      <c r="G38" s="267" t="s">
        <v>49</v>
      </c>
      <c r="H38" s="333"/>
      <c r="I38" s="621" t="s">
        <v>268</v>
      </c>
      <c r="J38" s="622"/>
      <c r="K38" s="333"/>
      <c r="L38" s="333"/>
      <c r="M38" s="333"/>
      <c r="N38" s="335"/>
      <c r="O38" s="335"/>
      <c r="P38" s="317"/>
      <c r="Q38" s="317"/>
      <c r="R38" s="317"/>
      <c r="S38" s="317"/>
      <c r="T38" s="317"/>
      <c r="U38" s="317"/>
      <c r="V38" s="317"/>
      <c r="W38" s="317"/>
      <c r="X38" s="317"/>
      <c r="Y38" s="317"/>
    </row>
    <row r="39" spans="1:25" ht="9.9499999999999993" customHeight="1" x14ac:dyDescent="0.25">
      <c r="A39" s="317"/>
      <c r="B39" s="336"/>
      <c r="C39" s="336"/>
      <c r="D39" s="333"/>
      <c r="E39" s="333"/>
      <c r="F39" s="331"/>
      <c r="G39" s="362"/>
      <c r="H39" s="333"/>
      <c r="I39" s="336"/>
      <c r="J39" s="335"/>
      <c r="K39" s="333"/>
      <c r="L39" s="333"/>
      <c r="M39" s="333"/>
      <c r="N39" s="335"/>
      <c r="O39" s="335"/>
      <c r="P39" s="317"/>
      <c r="Q39" s="317"/>
      <c r="R39" s="317"/>
      <c r="S39" s="317"/>
      <c r="T39" s="317"/>
      <c r="U39" s="317"/>
      <c r="V39" s="317"/>
      <c r="W39" s="317"/>
      <c r="X39" s="317"/>
      <c r="Y39" s="317"/>
    </row>
    <row r="40" spans="1:25" ht="15.95" customHeight="1" x14ac:dyDescent="0.25">
      <c r="A40" s="317"/>
      <c r="B40" s="336"/>
      <c r="C40" s="363" t="s">
        <v>17</v>
      </c>
      <c r="D40" s="333"/>
      <c r="E40" s="333"/>
      <c r="F40" s="364">
        <f>+COUNTIF(ARS!$D:$D,'Reporte - Oscuro'!$C40)-COUNTIF(ARS!$O:$O,$C40&amp;" vencida")</f>
        <v>11</v>
      </c>
      <c r="G40" s="365">
        <f>+COUNTIF(USD!$D:$D,'Reporte - Oscuro'!$C40)-COUNTIF(USD!$O:$O,$C40&amp;" vencida")</f>
        <v>5</v>
      </c>
      <c r="H40" s="366"/>
      <c r="I40" s="582">
        <f>+SUM(F40:G40)</f>
        <v>16</v>
      </c>
      <c r="J40" s="583"/>
      <c r="K40" s="367">
        <f>+I40/SUM($I$40:$J$43)</f>
        <v>0.88888888888888884</v>
      </c>
      <c r="L40" s="347"/>
      <c r="M40" s="347"/>
      <c r="N40" s="348"/>
      <c r="O40" s="335"/>
      <c r="P40" s="317"/>
      <c r="Q40" s="317"/>
      <c r="R40" s="317"/>
      <c r="S40" s="317"/>
      <c r="T40" s="317"/>
      <c r="U40" s="317"/>
      <c r="V40" s="317"/>
      <c r="W40" s="317"/>
      <c r="X40" s="317"/>
      <c r="Y40" s="317"/>
    </row>
    <row r="41" spans="1:25" ht="15.95" customHeight="1" x14ac:dyDescent="0.25">
      <c r="A41" s="317"/>
      <c r="B41" s="336"/>
      <c r="C41" s="363" t="s">
        <v>61</v>
      </c>
      <c r="D41" s="333"/>
      <c r="E41" s="333"/>
      <c r="F41" s="364">
        <f>+COUNTIF(ARS!$D:$D,'Reporte - Oscuro'!$C41)-COUNTIF(ARS!$O:$O,$C41&amp;" vencida")</f>
        <v>1</v>
      </c>
      <c r="G41" s="365">
        <f>+COUNTIF(USD!$D:$D,'Reporte - Oscuro'!$C41)-COUNTIF(USD!$O:$O,$C41&amp;" vencida")</f>
        <v>2</v>
      </c>
      <c r="H41" s="366"/>
      <c r="I41" s="582">
        <f t="shared" ref="I41:I43" si="0">+SUM(F41:G41)</f>
        <v>3</v>
      </c>
      <c r="J41" s="583"/>
      <c r="K41" s="367">
        <f t="shared" ref="K41:K43" si="1">+I41/SUM($I$40:$J$43)</f>
        <v>0.16666666666666666</v>
      </c>
      <c r="L41" s="347"/>
      <c r="M41" s="347"/>
      <c r="N41" s="348"/>
      <c r="O41" s="335"/>
      <c r="P41" s="317"/>
      <c r="Q41" s="317"/>
      <c r="R41" s="317"/>
      <c r="S41" s="317"/>
      <c r="T41" s="317"/>
      <c r="U41" s="317"/>
      <c r="V41" s="317"/>
      <c r="W41" s="317"/>
      <c r="X41" s="317"/>
      <c r="Y41" s="317"/>
    </row>
    <row r="42" spans="1:25" ht="15.95" customHeight="1" x14ac:dyDescent="0.25">
      <c r="A42" s="317"/>
      <c r="B42" s="336"/>
      <c r="C42" s="363" t="s">
        <v>229</v>
      </c>
      <c r="D42" s="333"/>
      <c r="E42" s="333"/>
      <c r="F42" s="364">
        <f>+COUNTIF(ARS!$D:$D,'Reporte - Oscuro'!$C42)-COUNTIF(ARS!$O:$O,$C42&amp;" vencida")</f>
        <v>0</v>
      </c>
      <c r="G42" s="365">
        <f>+COUNTIF(USD!$D:$D,'Reporte - Oscuro'!$C42)-COUNTIF(USD!$O:$O,$C42&amp;" vencida")</f>
        <v>-1</v>
      </c>
      <c r="H42" s="366"/>
      <c r="I42" s="582">
        <f t="shared" si="0"/>
        <v>-1</v>
      </c>
      <c r="J42" s="583"/>
      <c r="K42" s="367">
        <f t="shared" si="1"/>
        <v>-5.5555555555555552E-2</v>
      </c>
      <c r="L42" s="347"/>
      <c r="M42" s="347"/>
      <c r="N42" s="348"/>
      <c r="O42" s="335"/>
      <c r="P42" s="317"/>
      <c r="Q42" s="317"/>
      <c r="R42" s="317"/>
      <c r="S42" s="317"/>
      <c r="T42" s="317"/>
      <c r="U42" s="317"/>
      <c r="V42" s="317"/>
      <c r="W42" s="317"/>
      <c r="X42" s="317"/>
      <c r="Y42" s="317"/>
    </row>
    <row r="43" spans="1:25" ht="15.95" customHeight="1" x14ac:dyDescent="0.25">
      <c r="A43" s="317"/>
      <c r="B43" s="336"/>
      <c r="C43" s="363" t="s">
        <v>267</v>
      </c>
      <c r="D43" s="333"/>
      <c r="E43" s="333"/>
      <c r="F43" s="364">
        <f>+COUNTIF(ARS!$D:$D,'Reporte - Oscuro'!$C43)-COUNTIF(ARS!$O:$O,$C43&amp;" vencida")</f>
        <v>0</v>
      </c>
      <c r="G43" s="365">
        <f>+COUNTIF(USD!$D:$D,'Reporte - Oscuro'!$C43)-COUNTIF(USD!$O:$O,$C43&amp;" vencida")</f>
        <v>0</v>
      </c>
      <c r="H43" s="366"/>
      <c r="I43" s="582">
        <f t="shared" si="0"/>
        <v>0</v>
      </c>
      <c r="J43" s="583"/>
      <c r="K43" s="367">
        <f t="shared" si="1"/>
        <v>0</v>
      </c>
      <c r="L43" s="347"/>
      <c r="M43" s="347"/>
      <c r="N43" s="348"/>
      <c r="O43" s="335"/>
      <c r="P43" s="317"/>
      <c r="Q43" s="317"/>
      <c r="R43" s="317"/>
      <c r="S43" s="317"/>
      <c r="T43" s="317"/>
      <c r="U43" s="317"/>
      <c r="V43" s="317"/>
      <c r="W43" s="317"/>
      <c r="X43" s="317"/>
      <c r="Y43" s="317"/>
    </row>
    <row r="44" spans="1:25" ht="9.9499999999999993" customHeight="1" x14ac:dyDescent="0.25">
      <c r="A44" s="317"/>
      <c r="B44" s="336"/>
      <c r="C44" s="363"/>
      <c r="D44" s="333"/>
      <c r="E44" s="333"/>
      <c r="F44" s="351"/>
      <c r="G44" s="368"/>
      <c r="H44" s="333"/>
      <c r="I44" s="369"/>
      <c r="J44" s="370"/>
      <c r="K44" s="347"/>
      <c r="L44" s="347"/>
      <c r="M44" s="347"/>
      <c r="N44" s="348"/>
      <c r="O44" s="335"/>
      <c r="P44" s="317"/>
      <c r="Q44" s="317"/>
      <c r="R44" s="317"/>
      <c r="S44" s="317"/>
      <c r="T44" s="317"/>
      <c r="U44" s="317"/>
      <c r="V44" s="317"/>
      <c r="W44" s="317"/>
      <c r="X44" s="317"/>
      <c r="Y44" s="317"/>
    </row>
    <row r="45" spans="1:25" ht="9.9499999999999993" customHeight="1" x14ac:dyDescent="0.25">
      <c r="A45" s="317"/>
      <c r="B45" s="336"/>
      <c r="C45" s="351"/>
      <c r="D45" s="352"/>
      <c r="E45" s="352"/>
      <c r="F45" s="352"/>
      <c r="G45" s="352"/>
      <c r="H45" s="352"/>
      <c r="I45" s="352"/>
      <c r="J45" s="352"/>
      <c r="K45" s="371"/>
      <c r="L45" s="371"/>
      <c r="M45" s="371"/>
      <c r="N45" s="372"/>
      <c r="O45" s="335"/>
      <c r="P45" s="317"/>
      <c r="Q45" s="317"/>
      <c r="R45" s="317"/>
      <c r="S45" s="317"/>
      <c r="T45" s="317"/>
      <c r="U45" s="317"/>
      <c r="V45" s="317"/>
      <c r="W45" s="317"/>
      <c r="X45" s="317"/>
      <c r="Y45" s="317"/>
    </row>
    <row r="46" spans="1:25" ht="15.95" customHeight="1" x14ac:dyDescent="0.25">
      <c r="A46" s="317"/>
      <c r="B46" s="336"/>
      <c r="C46" s="333"/>
      <c r="D46" s="333"/>
      <c r="E46" s="333"/>
      <c r="F46" s="333"/>
      <c r="G46" s="333"/>
      <c r="H46" s="333"/>
      <c r="I46" s="333"/>
      <c r="J46" s="333"/>
      <c r="K46" s="347"/>
      <c r="L46" s="347"/>
      <c r="M46" s="347"/>
      <c r="N46" s="347"/>
      <c r="O46" s="335"/>
      <c r="P46" s="317"/>
      <c r="Q46" s="317"/>
      <c r="R46" s="317"/>
      <c r="S46" s="317"/>
      <c r="T46" s="317"/>
      <c r="U46" s="317"/>
      <c r="V46" s="317"/>
      <c r="W46" s="317"/>
      <c r="X46" s="317"/>
      <c r="Y46" s="317"/>
    </row>
    <row r="47" spans="1:25" ht="9.9499999999999993" customHeight="1" x14ac:dyDescent="0.25">
      <c r="A47" s="317"/>
      <c r="B47" s="336"/>
      <c r="C47" s="358"/>
      <c r="D47" s="328"/>
      <c r="E47" s="328"/>
      <c r="F47" s="328"/>
      <c r="G47" s="328"/>
      <c r="H47" s="328"/>
      <c r="I47" s="328"/>
      <c r="J47" s="328"/>
      <c r="K47" s="328"/>
      <c r="L47" s="328"/>
      <c r="M47" s="328"/>
      <c r="N47" s="330"/>
      <c r="O47" s="335"/>
      <c r="P47" s="317"/>
      <c r="Q47" s="317"/>
      <c r="R47" s="317"/>
      <c r="S47" s="317"/>
      <c r="T47" s="317"/>
      <c r="U47" s="317"/>
      <c r="V47" s="317"/>
      <c r="W47" s="317"/>
      <c r="X47" s="317"/>
      <c r="Y47" s="317"/>
    </row>
    <row r="48" spans="1:25" ht="18" customHeight="1" x14ac:dyDescent="0.25">
      <c r="A48" s="317"/>
      <c r="B48" s="336"/>
      <c r="C48" s="623" t="s">
        <v>28</v>
      </c>
      <c r="D48" s="624"/>
      <c r="E48" s="333"/>
      <c r="F48" s="333"/>
      <c r="G48" s="333"/>
      <c r="H48" s="333"/>
      <c r="I48" s="333"/>
      <c r="J48" s="333"/>
      <c r="K48" s="333"/>
      <c r="L48" s="333"/>
      <c r="M48" s="333"/>
      <c r="N48" s="335"/>
      <c r="O48" s="335"/>
      <c r="P48" s="317"/>
      <c r="Q48" s="317"/>
      <c r="R48" s="317"/>
      <c r="S48" s="317"/>
      <c r="T48" s="317"/>
      <c r="U48" s="317"/>
      <c r="V48" s="317"/>
      <c r="W48" s="317"/>
      <c r="X48" s="317"/>
      <c r="Y48" s="317"/>
    </row>
    <row r="49" spans="1:25" ht="9.9499999999999993" customHeight="1" x14ac:dyDescent="0.25">
      <c r="A49" s="317"/>
      <c r="B49" s="336"/>
      <c r="C49" s="359"/>
      <c r="D49" s="360"/>
      <c r="E49" s="333"/>
      <c r="F49" s="332"/>
      <c r="G49" s="361"/>
      <c r="H49" s="333"/>
      <c r="I49" s="617"/>
      <c r="J49" s="618"/>
      <c r="K49" s="333"/>
      <c r="L49" s="333"/>
      <c r="M49" s="333"/>
      <c r="N49" s="335"/>
      <c r="O49" s="335"/>
      <c r="P49" s="317"/>
      <c r="Q49" s="317"/>
      <c r="R49" s="317"/>
      <c r="S49" s="317"/>
      <c r="T49" s="317"/>
      <c r="U49" s="317"/>
      <c r="V49" s="317"/>
      <c r="W49" s="317"/>
      <c r="X49" s="317"/>
      <c r="Y49" s="317"/>
    </row>
    <row r="50" spans="1:25" ht="15.95" customHeight="1" x14ac:dyDescent="0.25">
      <c r="A50" s="317"/>
      <c r="B50" s="336"/>
      <c r="C50" s="336"/>
      <c r="D50" s="333"/>
      <c r="E50" s="333"/>
      <c r="F50" s="279" t="s">
        <v>18</v>
      </c>
      <c r="G50" s="267" t="s">
        <v>49</v>
      </c>
      <c r="H50" s="333"/>
      <c r="I50" s="621" t="s">
        <v>268</v>
      </c>
      <c r="J50" s="622"/>
      <c r="K50" s="347"/>
      <c r="L50" s="347"/>
      <c r="M50" s="347"/>
      <c r="N50" s="348"/>
      <c r="O50" s="348"/>
      <c r="P50" s="317"/>
      <c r="Q50" s="317"/>
      <c r="R50" s="317"/>
      <c r="S50" s="317"/>
      <c r="T50" s="317"/>
      <c r="U50" s="317"/>
      <c r="V50" s="317"/>
      <c r="W50" s="317"/>
      <c r="X50" s="317"/>
      <c r="Y50" s="317"/>
    </row>
    <row r="51" spans="1:25" ht="9.9499999999999993" customHeight="1" x14ac:dyDescent="0.25">
      <c r="A51" s="317"/>
      <c r="B51" s="336"/>
      <c r="C51" s="336"/>
      <c r="D51" s="333"/>
      <c r="E51" s="333"/>
      <c r="F51" s="331"/>
      <c r="G51" s="362"/>
      <c r="H51" s="333"/>
      <c r="I51" s="336"/>
      <c r="J51" s="335"/>
      <c r="K51" s="347"/>
      <c r="L51" s="347"/>
      <c r="M51" s="347"/>
      <c r="N51" s="348"/>
      <c r="O51" s="348"/>
      <c r="P51" s="317"/>
      <c r="Q51" s="317"/>
      <c r="R51" s="317"/>
      <c r="S51" s="317"/>
      <c r="T51" s="317"/>
      <c r="U51" s="317"/>
      <c r="V51" s="317"/>
      <c r="W51" s="317"/>
      <c r="X51" s="317"/>
      <c r="Y51" s="317"/>
    </row>
    <row r="52" spans="1:25" ht="15.95" customHeight="1" x14ac:dyDescent="0.25">
      <c r="A52" s="317"/>
      <c r="B52" s="336"/>
      <c r="C52" s="363" t="s">
        <v>17</v>
      </c>
      <c r="D52" s="333"/>
      <c r="E52" s="333"/>
      <c r="F52" s="364">
        <f>+SUMIF(ARS!$O:$O,$C52,ARS!$J:$J)</f>
        <v>58425567.841179878</v>
      </c>
      <c r="G52" s="365">
        <f>+SUMIF(USD!$O:$O,$C52,USD!$J:$J)</f>
        <v>109443.84943389041</v>
      </c>
      <c r="H52" s="366"/>
      <c r="I52" s="582">
        <f>+F52+G52*VLOOKUP(WORKDAY.INTL($N$6,-1,1),'Tasas-TC'!A:C,3,FALSE)</f>
        <v>184961263.24116096</v>
      </c>
      <c r="J52" s="583"/>
      <c r="K52" s="367">
        <f>+I52/SUM($I$52:$J$55)</f>
        <v>0.95307728433790695</v>
      </c>
      <c r="L52" s="367">
        <f t="shared" ref="L52:M55" si="2">+J52/SUM($I$40:$J$43)</f>
        <v>0</v>
      </c>
      <c r="M52" s="367">
        <f t="shared" si="2"/>
        <v>5.2948738018772611E-2</v>
      </c>
      <c r="N52" s="348"/>
      <c r="O52" s="348"/>
      <c r="P52" s="317"/>
      <c r="Q52" s="317"/>
      <c r="R52" s="317"/>
      <c r="S52" s="317"/>
      <c r="T52" s="317"/>
      <c r="U52" s="317"/>
      <c r="V52" s="317"/>
      <c r="W52" s="317"/>
      <c r="X52" s="317"/>
      <c r="Y52" s="317"/>
    </row>
    <row r="53" spans="1:25" ht="15.95" customHeight="1" x14ac:dyDescent="0.25">
      <c r="A53" s="317"/>
      <c r="B53" s="336"/>
      <c r="C53" s="363" t="s">
        <v>61</v>
      </c>
      <c r="D53" s="333"/>
      <c r="E53" s="333"/>
      <c r="F53" s="364">
        <f>+SUMIF(ARS!$O:$O,$C53,ARS!$J:$J)</f>
        <v>0</v>
      </c>
      <c r="G53" s="365">
        <f>+SUMIF(USD!$O:$O,$C53,USD!$J:$J)</f>
        <v>3273.4931506849312</v>
      </c>
      <c r="H53" s="366"/>
      <c r="I53" s="582">
        <f>+F53+G53*VLOOKUP(WORKDAY.INTL($N$6,-1,1),'Tasas-TC'!A:C,3,FALSE)</f>
        <v>3784714.5760273971</v>
      </c>
      <c r="J53" s="583"/>
      <c r="K53" s="367">
        <f t="shared" ref="K53:K55" si="3">+I53/SUM($I$52:$J$55)</f>
        <v>1.9502059117163083E-2</v>
      </c>
      <c r="L53" s="367">
        <f t="shared" si="2"/>
        <v>0</v>
      </c>
      <c r="M53" s="367">
        <f t="shared" si="2"/>
        <v>1.0834477287312823E-3</v>
      </c>
      <c r="N53" s="348"/>
      <c r="O53" s="348"/>
      <c r="P53" s="317"/>
      <c r="Q53" s="317"/>
      <c r="R53" s="317"/>
      <c r="S53" s="317"/>
      <c r="T53" s="317"/>
      <c r="U53" s="317"/>
      <c r="V53" s="317"/>
      <c r="W53" s="317"/>
      <c r="X53" s="317"/>
      <c r="Y53" s="317"/>
    </row>
    <row r="54" spans="1:25" ht="15.95" customHeight="1" x14ac:dyDescent="0.25">
      <c r="A54" s="317"/>
      <c r="B54" s="336"/>
      <c r="C54" s="363" t="s">
        <v>229</v>
      </c>
      <c r="D54" s="333"/>
      <c r="E54" s="333"/>
      <c r="F54" s="364">
        <f>+SUMIF(ARS!$O:$O,$C54,ARS!$J:$J)</f>
        <v>0</v>
      </c>
      <c r="G54" s="365">
        <f>+SUMIF(USD!$O:$O,$C54,USD!$J:$J)</f>
        <v>4602.6591780821918</v>
      </c>
      <c r="H54" s="366"/>
      <c r="I54" s="582">
        <f>+F54+G54*VLOOKUP(WORKDAY.INTL($N$6,-1,1),'Tasas-TC'!A:C,3,FALSE)</f>
        <v>5321456.4619232882</v>
      </c>
      <c r="J54" s="583"/>
      <c r="K54" s="367">
        <f t="shared" si="3"/>
        <v>2.742065654492996E-2</v>
      </c>
      <c r="L54" s="367">
        <f t="shared" si="2"/>
        <v>0</v>
      </c>
      <c r="M54" s="367">
        <f t="shared" si="2"/>
        <v>1.5233698080516645E-3</v>
      </c>
      <c r="N54" s="348"/>
      <c r="O54" s="348"/>
      <c r="P54" s="317"/>
      <c r="Q54" s="317"/>
      <c r="R54" s="317"/>
      <c r="S54" s="317"/>
      <c r="T54" s="317"/>
      <c r="U54" s="317"/>
      <c r="V54" s="317"/>
      <c r="W54" s="317"/>
      <c r="X54" s="317"/>
      <c r="Y54" s="317"/>
    </row>
    <row r="55" spans="1:25" ht="15.95" customHeight="1" x14ac:dyDescent="0.25">
      <c r="A55" s="317"/>
      <c r="B55" s="336"/>
      <c r="C55" s="363" t="s">
        <v>267</v>
      </c>
      <c r="D55" s="333"/>
      <c r="E55" s="333"/>
      <c r="F55" s="364">
        <f>+SUMIF(ARS!$O:$O,$C55,ARS!$J:$J)</f>
        <v>0</v>
      </c>
      <c r="G55" s="365">
        <f>+SUMIF(USD!$O:$O,$C55,USD!$J:$J)</f>
        <v>0</v>
      </c>
      <c r="H55" s="366"/>
      <c r="I55" s="582">
        <f>+F55+G55*VLOOKUP(WORKDAY.INTL($N$6,-1,1),'Tasas-TC'!A:C,3,FALSE)</f>
        <v>0</v>
      </c>
      <c r="J55" s="583"/>
      <c r="K55" s="367">
        <f t="shared" si="3"/>
        <v>0</v>
      </c>
      <c r="L55" s="367">
        <f t="shared" si="2"/>
        <v>0</v>
      </c>
      <c r="M55" s="367">
        <f t="shared" si="2"/>
        <v>0</v>
      </c>
      <c r="N55" s="348"/>
      <c r="O55" s="348"/>
      <c r="P55" s="317"/>
      <c r="Q55" s="317"/>
      <c r="R55" s="317"/>
      <c r="S55" s="317"/>
      <c r="T55" s="317"/>
      <c r="U55" s="317"/>
      <c r="V55" s="317"/>
      <c r="W55" s="317"/>
      <c r="X55" s="317"/>
      <c r="Y55" s="317"/>
    </row>
    <row r="56" spans="1:25" ht="9.9499999999999993" customHeight="1" x14ac:dyDescent="0.25">
      <c r="A56" s="317"/>
      <c r="B56" s="336"/>
      <c r="C56" s="363"/>
      <c r="D56" s="333"/>
      <c r="E56" s="333"/>
      <c r="F56" s="351"/>
      <c r="G56" s="368"/>
      <c r="H56" s="333"/>
      <c r="I56" s="369"/>
      <c r="J56" s="370"/>
      <c r="K56" s="347"/>
      <c r="L56" s="347"/>
      <c r="M56" s="347"/>
      <c r="N56" s="348"/>
      <c r="O56" s="348"/>
      <c r="P56" s="317"/>
      <c r="Q56" s="317"/>
      <c r="R56" s="317"/>
      <c r="S56" s="317"/>
      <c r="T56" s="317"/>
      <c r="U56" s="317"/>
      <c r="V56" s="317"/>
      <c r="W56" s="317"/>
      <c r="X56" s="317"/>
      <c r="Y56" s="317"/>
    </row>
    <row r="57" spans="1:25" ht="9.9499999999999993" customHeight="1" x14ac:dyDescent="0.25">
      <c r="A57" s="317"/>
      <c r="B57" s="336"/>
      <c r="C57" s="351"/>
      <c r="D57" s="352"/>
      <c r="E57" s="352"/>
      <c r="F57" s="352"/>
      <c r="G57" s="352"/>
      <c r="H57" s="352"/>
      <c r="I57" s="352"/>
      <c r="J57" s="352"/>
      <c r="K57" s="371"/>
      <c r="L57" s="371"/>
      <c r="M57" s="371"/>
      <c r="N57" s="372"/>
      <c r="O57" s="348"/>
      <c r="P57" s="317"/>
      <c r="Q57" s="317"/>
      <c r="R57" s="317"/>
      <c r="S57" s="317"/>
      <c r="T57" s="317"/>
      <c r="U57" s="317"/>
      <c r="V57" s="317"/>
      <c r="W57" s="317"/>
      <c r="X57" s="317"/>
      <c r="Y57" s="317"/>
    </row>
    <row r="58" spans="1:25" ht="15.95" customHeight="1" x14ac:dyDescent="0.25">
      <c r="A58" s="317"/>
      <c r="B58" s="354"/>
      <c r="C58" s="355"/>
      <c r="D58" s="355"/>
      <c r="E58" s="355"/>
      <c r="F58" s="355"/>
      <c r="G58" s="355"/>
      <c r="H58" s="355"/>
      <c r="I58" s="355"/>
      <c r="J58" s="355"/>
      <c r="K58" s="355"/>
      <c r="L58" s="355"/>
      <c r="M58" s="355"/>
      <c r="N58" s="355"/>
      <c r="O58" s="357"/>
      <c r="P58" s="317"/>
      <c r="Q58" s="317"/>
      <c r="R58" s="317"/>
      <c r="S58" s="317"/>
      <c r="T58" s="317"/>
      <c r="U58" s="317"/>
      <c r="V58" s="317"/>
      <c r="W58" s="317"/>
      <c r="X58" s="317"/>
      <c r="Y58" s="317"/>
    </row>
    <row r="59" spans="1:25" ht="15.95" customHeight="1" x14ac:dyDescent="0.25">
      <c r="A59" s="317"/>
      <c r="B59" s="336"/>
      <c r="C59" s="333"/>
      <c r="D59" s="333"/>
      <c r="E59" s="333"/>
      <c r="F59" s="333"/>
      <c r="G59" s="333"/>
      <c r="H59" s="333"/>
      <c r="I59" s="333"/>
      <c r="J59" s="333"/>
      <c r="K59" s="333"/>
      <c r="L59" s="333"/>
      <c r="M59" s="333"/>
      <c r="N59" s="333"/>
      <c r="O59" s="335"/>
      <c r="P59" s="317"/>
      <c r="Q59" s="317"/>
      <c r="R59" s="317"/>
      <c r="S59" s="317"/>
      <c r="T59" s="317"/>
      <c r="U59" s="317"/>
      <c r="V59" s="317"/>
      <c r="W59" s="317"/>
      <c r="X59" s="317"/>
      <c r="Y59" s="317"/>
    </row>
    <row r="60" spans="1:25" ht="20.100000000000001" customHeight="1" x14ac:dyDescent="0.25">
      <c r="A60" s="317"/>
      <c r="B60" s="610" t="s">
        <v>279</v>
      </c>
      <c r="C60" s="611"/>
      <c r="D60" s="611"/>
      <c r="E60" s="611"/>
      <c r="F60" s="611"/>
      <c r="G60" s="611"/>
      <c r="H60" s="611"/>
      <c r="I60" s="611"/>
      <c r="J60" s="611"/>
      <c r="K60" s="611"/>
      <c r="L60" s="611"/>
      <c r="M60" s="611"/>
      <c r="N60" s="611"/>
      <c r="O60" s="612"/>
      <c r="P60" s="317"/>
      <c r="Q60" s="317"/>
      <c r="R60" s="317"/>
      <c r="S60" s="317"/>
      <c r="T60" s="317"/>
      <c r="U60" s="317"/>
      <c r="V60" s="317"/>
      <c r="W60" s="317"/>
      <c r="X60" s="317"/>
      <c r="Y60" s="317"/>
    </row>
    <row r="61" spans="1:25" ht="15.95" customHeight="1" x14ac:dyDescent="0.25">
      <c r="A61" s="333"/>
      <c r="B61" s="336"/>
      <c r="C61" s="333"/>
      <c r="D61" s="333"/>
      <c r="E61" s="333"/>
      <c r="F61" s="333"/>
      <c r="G61" s="333"/>
      <c r="H61" s="333"/>
      <c r="I61" s="333"/>
      <c r="J61" s="333"/>
      <c r="K61" s="333"/>
      <c r="L61" s="333"/>
      <c r="M61" s="333"/>
      <c r="N61" s="333"/>
      <c r="O61" s="335"/>
      <c r="P61" s="333"/>
      <c r="Q61" s="317"/>
      <c r="R61" s="317"/>
      <c r="S61" s="317"/>
      <c r="T61" s="317"/>
      <c r="U61" s="317"/>
      <c r="V61" s="317"/>
      <c r="W61" s="317"/>
      <c r="X61" s="317"/>
      <c r="Y61" s="317"/>
    </row>
    <row r="62" spans="1:25" ht="9.9499999999999993" customHeight="1" x14ac:dyDescent="0.25">
      <c r="A62" s="333"/>
      <c r="B62" s="336"/>
      <c r="C62" s="333"/>
      <c r="D62" s="333"/>
      <c r="E62" s="333"/>
      <c r="F62" s="333"/>
      <c r="G62" s="333"/>
      <c r="H62" s="333"/>
      <c r="I62" s="333"/>
      <c r="J62" s="617"/>
      <c r="K62" s="618"/>
      <c r="L62" s="333"/>
      <c r="M62" s="373"/>
      <c r="N62" s="330"/>
      <c r="O62" s="335"/>
      <c r="P62" s="333"/>
      <c r="Q62" s="317"/>
      <c r="R62" s="317"/>
      <c r="S62" s="317"/>
      <c r="T62" s="317"/>
      <c r="U62" s="317"/>
      <c r="V62" s="317"/>
      <c r="W62" s="317"/>
      <c r="X62" s="317"/>
      <c r="Y62" s="317"/>
    </row>
    <row r="63" spans="1:25" ht="15.95" customHeight="1" x14ac:dyDescent="0.25">
      <c r="A63" s="333"/>
      <c r="B63" s="336"/>
      <c r="C63" s="333"/>
      <c r="D63" s="333"/>
      <c r="E63" s="333"/>
      <c r="F63" s="333"/>
      <c r="G63" s="333"/>
      <c r="H63" s="333"/>
      <c r="I63" s="333"/>
      <c r="J63" s="613" t="s">
        <v>282</v>
      </c>
      <c r="K63" s="616"/>
      <c r="L63" s="333"/>
      <c r="M63" s="199" t="s">
        <v>280</v>
      </c>
      <c r="N63" s="200" t="s">
        <v>281</v>
      </c>
      <c r="O63" s="335"/>
      <c r="P63" s="333"/>
      <c r="Q63" s="317"/>
      <c r="R63" s="317"/>
      <c r="S63" s="317"/>
      <c r="T63" s="317"/>
      <c r="U63" s="317"/>
      <c r="V63" s="317"/>
      <c r="W63" s="317"/>
      <c r="X63" s="317"/>
      <c r="Y63" s="317"/>
    </row>
    <row r="64" spans="1:25" ht="9.9499999999999993" customHeight="1" x14ac:dyDescent="0.25">
      <c r="A64" s="333"/>
      <c r="B64" s="336"/>
      <c r="C64" s="333"/>
      <c r="D64" s="333"/>
      <c r="E64" s="333"/>
      <c r="F64" s="333"/>
      <c r="G64" s="333"/>
      <c r="H64" s="333"/>
      <c r="I64" s="333"/>
      <c r="J64" s="336"/>
      <c r="K64" s="335"/>
      <c r="L64" s="333"/>
      <c r="M64" s="374">
        <f ca="1">+F17</f>
        <v>7</v>
      </c>
      <c r="N64" s="375"/>
      <c r="O64" s="335"/>
      <c r="P64" s="333"/>
      <c r="Q64" s="317"/>
      <c r="R64" s="317"/>
      <c r="S64" s="317"/>
      <c r="T64" s="317"/>
      <c r="U64" s="317"/>
      <c r="V64" s="317"/>
      <c r="W64" s="317"/>
      <c r="X64" s="317"/>
      <c r="Y64" s="317"/>
    </row>
    <row r="65" spans="1:25" ht="15.95" customHeight="1" x14ac:dyDescent="0.25">
      <c r="A65" s="333"/>
      <c r="B65" s="336"/>
      <c r="C65" s="333"/>
      <c r="D65" s="333"/>
      <c r="E65" s="333"/>
      <c r="F65" s="333"/>
      <c r="G65" s="333"/>
      <c r="H65" s="333"/>
      <c r="I65" s="376">
        <f ca="1">+M65/$F$17</f>
        <v>0.14285714285714285</v>
      </c>
      <c r="J65" s="377" t="s">
        <v>276</v>
      </c>
      <c r="K65" s="335"/>
      <c r="L65" s="333"/>
      <c r="M65" s="378">
        <f>+COUNTIF(ARS!D:D,"Individualización N°")+COUNTIF(USD!D:D,"Individualización N°")</f>
        <v>1</v>
      </c>
      <c r="N65" s="379">
        <f ca="1">+M65/$F$17</f>
        <v>0.14285714285714285</v>
      </c>
      <c r="O65" s="335"/>
      <c r="P65" s="333"/>
      <c r="Q65" s="317"/>
      <c r="R65" s="317"/>
      <c r="S65" s="317"/>
      <c r="T65" s="317"/>
      <c r="U65" s="317"/>
      <c r="V65" s="317"/>
      <c r="W65" s="317"/>
      <c r="X65" s="317"/>
      <c r="Y65" s="317"/>
    </row>
    <row r="66" spans="1:25" ht="15.95" customHeight="1" x14ac:dyDescent="0.25">
      <c r="A66" s="333"/>
      <c r="B66" s="336"/>
      <c r="C66" s="333"/>
      <c r="D66" s="333"/>
      <c r="E66" s="333"/>
      <c r="F66" s="333"/>
      <c r="G66" s="333"/>
      <c r="H66" s="333"/>
      <c r="I66" s="376">
        <f ca="1">+M66/$F$17</f>
        <v>0.14285714285714285</v>
      </c>
      <c r="J66" s="377" t="s">
        <v>277</v>
      </c>
      <c r="K66" s="335"/>
      <c r="L66" s="333"/>
      <c r="M66" s="378">
        <f>+COUNTIF(ARS!D:D,"Suspensión N°")+COUNTIF(USD!D:D,"Suspensión N°")</f>
        <v>1</v>
      </c>
      <c r="N66" s="379">
        <f ca="1">+M66/$F$17</f>
        <v>0.14285714285714285</v>
      </c>
      <c r="O66" s="335"/>
      <c r="P66" s="333"/>
      <c r="Q66" s="317"/>
      <c r="R66" s="317"/>
      <c r="S66" s="317"/>
      <c r="T66" s="317"/>
      <c r="U66" s="317"/>
      <c r="V66" s="317"/>
      <c r="W66" s="317"/>
      <c r="X66" s="317"/>
      <c r="Y66" s="317"/>
    </row>
    <row r="67" spans="1:25" ht="15.95" customHeight="1" x14ac:dyDescent="0.25">
      <c r="A67" s="333"/>
      <c r="B67" s="336"/>
      <c r="C67" s="333"/>
      <c r="D67" s="333"/>
      <c r="E67" s="333"/>
      <c r="F67" s="333"/>
      <c r="G67" s="333"/>
      <c r="H67" s="347"/>
      <c r="I67" s="376">
        <f ca="1">+M67/$F$17</f>
        <v>0</v>
      </c>
      <c r="J67" s="377" t="s">
        <v>278</v>
      </c>
      <c r="K67" s="335"/>
      <c r="L67" s="333"/>
      <c r="M67" s="378">
        <f>+COUNTIF(ARS!D:D,"Rueda Reducida N°")+COUNTIF(USD!D:D,"Rueda Reducida N°")</f>
        <v>0</v>
      </c>
      <c r="N67" s="379">
        <f ca="1">+M67/$F$17</f>
        <v>0</v>
      </c>
      <c r="O67" s="335"/>
      <c r="P67" s="333"/>
      <c r="Q67" s="317"/>
      <c r="R67" s="317"/>
      <c r="S67" s="317"/>
      <c r="T67" s="317"/>
      <c r="U67" s="317"/>
      <c r="V67" s="317"/>
      <c r="W67" s="317"/>
      <c r="X67" s="317"/>
      <c r="Y67" s="317"/>
    </row>
    <row r="68" spans="1:25" ht="9.9499999999999993" customHeight="1" x14ac:dyDescent="0.25">
      <c r="A68" s="333"/>
      <c r="B68" s="336"/>
      <c r="C68" s="333"/>
      <c r="D68" s="333"/>
      <c r="E68" s="333"/>
      <c r="F68" s="333"/>
      <c r="G68" s="333"/>
      <c r="H68" s="333"/>
      <c r="I68" s="333"/>
      <c r="J68" s="380" t="s">
        <v>268</v>
      </c>
      <c r="K68" s="381"/>
      <c r="L68" s="382"/>
      <c r="M68" s="383"/>
      <c r="N68" s="384"/>
      <c r="O68" s="335"/>
      <c r="P68" s="333"/>
      <c r="Q68" s="317"/>
      <c r="R68" s="317"/>
      <c r="S68" s="317"/>
      <c r="T68" s="317"/>
      <c r="U68" s="317"/>
      <c r="V68" s="317"/>
      <c r="W68" s="317"/>
      <c r="X68" s="317"/>
      <c r="Y68" s="317"/>
    </row>
    <row r="69" spans="1:25" ht="15.95" customHeight="1" x14ac:dyDescent="0.25">
      <c r="A69" s="333"/>
      <c r="B69" s="336"/>
      <c r="C69" s="333"/>
      <c r="D69" s="333"/>
      <c r="E69" s="333"/>
      <c r="F69" s="333"/>
      <c r="G69" s="333"/>
      <c r="H69" s="333"/>
      <c r="I69" s="333"/>
      <c r="J69" s="333"/>
      <c r="K69" s="333"/>
      <c r="L69" s="333"/>
      <c r="M69" s="333"/>
      <c r="N69" s="333"/>
      <c r="O69" s="335"/>
      <c r="P69" s="333"/>
      <c r="Q69" s="317"/>
      <c r="R69" s="317"/>
      <c r="S69" s="317"/>
      <c r="T69" s="317"/>
      <c r="U69" s="317"/>
      <c r="V69" s="317"/>
      <c r="W69" s="317"/>
      <c r="X69" s="317"/>
      <c r="Y69" s="317"/>
    </row>
    <row r="70" spans="1:25" ht="15.95" customHeight="1" x14ac:dyDescent="0.25">
      <c r="A70" s="333"/>
      <c r="B70" s="354"/>
      <c r="C70" s="355"/>
      <c r="D70" s="355"/>
      <c r="E70" s="355"/>
      <c r="F70" s="355"/>
      <c r="G70" s="355"/>
      <c r="H70" s="355"/>
      <c r="I70" s="355"/>
      <c r="J70" s="355"/>
      <c r="K70" s="355"/>
      <c r="L70" s="355"/>
      <c r="M70" s="355"/>
      <c r="N70" s="355"/>
      <c r="O70" s="357"/>
      <c r="P70" s="333"/>
      <c r="Q70" s="317"/>
      <c r="R70" s="317"/>
      <c r="S70" s="317"/>
      <c r="T70" s="317"/>
      <c r="U70" s="317"/>
      <c r="V70" s="317"/>
      <c r="W70" s="317"/>
      <c r="X70" s="317"/>
      <c r="Y70" s="317"/>
    </row>
    <row r="71" spans="1:25" ht="15.95" customHeight="1" x14ac:dyDescent="0.25">
      <c r="A71" s="333"/>
      <c r="B71" s="351"/>
      <c r="C71" s="352"/>
      <c r="D71" s="352"/>
      <c r="E71" s="352"/>
      <c r="F71" s="352"/>
      <c r="G71" s="352"/>
      <c r="H71" s="352"/>
      <c r="I71" s="352"/>
      <c r="J71" s="352"/>
      <c r="K71" s="352"/>
      <c r="L71" s="352"/>
      <c r="M71" s="352"/>
      <c r="N71" s="352"/>
      <c r="O71" s="353"/>
      <c r="P71" s="333"/>
      <c r="Q71" s="317"/>
      <c r="R71" s="317"/>
      <c r="S71" s="317"/>
      <c r="T71" s="317"/>
      <c r="U71" s="317"/>
      <c r="V71" s="317"/>
      <c r="W71" s="317"/>
      <c r="X71" s="317"/>
      <c r="Y71" s="317"/>
    </row>
    <row r="72" spans="1:25" ht="9.9499999999999993" customHeight="1" x14ac:dyDescent="0.25">
      <c r="A72" s="333"/>
      <c r="B72" s="333"/>
      <c r="C72" s="333"/>
      <c r="D72" s="333"/>
      <c r="E72" s="333"/>
      <c r="F72" s="333"/>
      <c r="G72" s="333"/>
      <c r="H72" s="333"/>
      <c r="I72" s="333"/>
      <c r="J72" s="333"/>
      <c r="K72" s="333"/>
      <c r="L72" s="333"/>
      <c r="M72" s="333"/>
      <c r="N72" s="333"/>
      <c r="O72" s="333"/>
      <c r="P72" s="333"/>
      <c r="Q72" s="317"/>
      <c r="R72" s="317"/>
      <c r="S72" s="317"/>
      <c r="T72" s="317"/>
      <c r="U72" s="317"/>
      <c r="V72" s="317"/>
      <c r="W72" s="317"/>
      <c r="X72" s="317"/>
      <c r="Y72" s="317"/>
    </row>
    <row r="73" spans="1:25" ht="15.95" customHeight="1" x14ac:dyDescent="0.25">
      <c r="A73" s="333"/>
      <c r="B73" s="333"/>
      <c r="C73" s="333"/>
      <c r="D73" s="333"/>
      <c r="E73" s="333"/>
      <c r="F73" s="333"/>
      <c r="G73" s="333"/>
      <c r="H73" s="333"/>
      <c r="I73" s="333"/>
      <c r="J73" s="333"/>
      <c r="K73" s="333"/>
      <c r="L73" s="333"/>
      <c r="M73" s="333"/>
      <c r="N73" s="333"/>
      <c r="O73" s="333"/>
      <c r="P73" s="333"/>
      <c r="Q73" s="317"/>
      <c r="R73" s="317"/>
      <c r="S73" s="317"/>
      <c r="T73" s="317"/>
      <c r="U73" s="317"/>
      <c r="V73" s="317"/>
      <c r="W73" s="317"/>
      <c r="X73" s="317"/>
      <c r="Y73" s="317"/>
    </row>
    <row r="74" spans="1:25" ht="15.95" customHeight="1" x14ac:dyDescent="0.25">
      <c r="A74" s="333"/>
      <c r="B74" s="333"/>
      <c r="C74" s="333"/>
      <c r="D74" s="333"/>
      <c r="E74" s="333"/>
      <c r="F74" s="333"/>
      <c r="G74" s="333"/>
      <c r="H74" s="333"/>
      <c r="I74" s="333"/>
      <c r="J74" s="333"/>
      <c r="K74" s="333"/>
      <c r="L74" s="333"/>
      <c r="M74" s="333"/>
      <c r="N74" s="333"/>
      <c r="O74" s="333"/>
      <c r="P74" s="333"/>
      <c r="Q74" s="317"/>
      <c r="R74" s="317"/>
      <c r="S74" s="317"/>
      <c r="T74" s="317"/>
      <c r="U74" s="317"/>
      <c r="V74" s="317"/>
      <c r="W74" s="317"/>
      <c r="X74" s="317"/>
      <c r="Y74" s="317"/>
    </row>
    <row r="75" spans="1:25" ht="15.95" customHeight="1" x14ac:dyDescent="0.25">
      <c r="A75" s="333"/>
      <c r="B75" s="333"/>
      <c r="C75" s="333"/>
      <c r="D75" s="333"/>
      <c r="E75" s="333"/>
      <c r="F75" s="333"/>
      <c r="G75" s="333"/>
      <c r="H75" s="333"/>
      <c r="I75" s="333"/>
      <c r="J75" s="333"/>
      <c r="K75" s="333"/>
      <c r="L75" s="333"/>
      <c r="M75" s="333"/>
      <c r="N75" s="333"/>
      <c r="O75" s="333"/>
      <c r="P75" s="333"/>
      <c r="Q75" s="317"/>
      <c r="R75" s="317"/>
      <c r="S75" s="317"/>
      <c r="T75" s="317"/>
      <c r="U75" s="317"/>
      <c r="V75" s="317"/>
      <c r="W75" s="317"/>
      <c r="X75" s="317"/>
      <c r="Y75" s="317"/>
    </row>
    <row r="76" spans="1:25" ht="15.95" customHeight="1" x14ac:dyDescent="0.25"/>
  </sheetData>
  <mergeCells count="34">
    <mergeCell ref="B60:O60"/>
    <mergeCell ref="J63:K63"/>
    <mergeCell ref="J62:K62"/>
    <mergeCell ref="M17:N18"/>
    <mergeCell ref="B33:O33"/>
    <mergeCell ref="I52:J52"/>
    <mergeCell ref="I53:J53"/>
    <mergeCell ref="I54:J54"/>
    <mergeCell ref="I55:J55"/>
    <mergeCell ref="I50:J50"/>
    <mergeCell ref="C48:D48"/>
    <mergeCell ref="C36:F36"/>
    <mergeCell ref="I37:J37"/>
    <mergeCell ref="I49:J49"/>
    <mergeCell ref="I38:J38"/>
    <mergeCell ref="I40:J40"/>
    <mergeCell ref="M14:N15"/>
    <mergeCell ref="C17:E18"/>
    <mergeCell ref="F17:G18"/>
    <mergeCell ref="J17:L18"/>
    <mergeCell ref="K3:N3"/>
    <mergeCell ref="K4:N4"/>
    <mergeCell ref="C10:G10"/>
    <mergeCell ref="J10:N10"/>
    <mergeCell ref="C13:D13"/>
    <mergeCell ref="F13:G13"/>
    <mergeCell ref="J13:K13"/>
    <mergeCell ref="M13:N13"/>
    <mergeCell ref="I41:J41"/>
    <mergeCell ref="I42:J42"/>
    <mergeCell ref="I43:J43"/>
    <mergeCell ref="C14:D15"/>
    <mergeCell ref="F14:G15"/>
    <mergeCell ref="J14:K15"/>
  </mergeCells>
  <printOptions horizontalCentered="1" verticalCentered="1"/>
  <pageMargins left="0" right="0" top="7.874015748031496E-2" bottom="7.874015748031496E-2" header="0.31496062992125984" footer="0.31496062992125984"/>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3:D37"/>
  <sheetViews>
    <sheetView workbookViewId="0"/>
  </sheetViews>
  <sheetFormatPr baseColWidth="10" defaultRowHeight="15" x14ac:dyDescent="0.25"/>
  <cols>
    <col min="2" max="2" width="40.42578125" customWidth="1"/>
    <col min="3" max="3" width="22" customWidth="1"/>
  </cols>
  <sheetData>
    <row r="3" spans="2:4" x14ac:dyDescent="0.25">
      <c r="B3" s="313" t="s">
        <v>343</v>
      </c>
      <c r="C3" s="313" t="s">
        <v>345</v>
      </c>
      <c r="D3" s="313"/>
    </row>
    <row r="4" spans="2:4" x14ac:dyDescent="0.25">
      <c r="B4" s="315" t="s">
        <v>309</v>
      </c>
      <c r="C4" s="316">
        <v>0.40145985401459855</v>
      </c>
      <c r="D4" s="313"/>
    </row>
    <row r="5" spans="2:4" x14ac:dyDescent="0.25">
      <c r="B5" s="315" t="s">
        <v>325</v>
      </c>
      <c r="C5" s="316">
        <v>0.15328467153284672</v>
      </c>
      <c r="D5" s="313"/>
    </row>
    <row r="6" spans="2:4" x14ac:dyDescent="0.25">
      <c r="B6" s="315" t="s">
        <v>308</v>
      </c>
      <c r="C6" s="316">
        <v>8.0291970802919707E-2</v>
      </c>
      <c r="D6" s="313"/>
    </row>
    <row r="7" spans="2:4" x14ac:dyDescent="0.25">
      <c r="B7" s="315" t="s">
        <v>319</v>
      </c>
      <c r="C7" s="316">
        <v>5.8394160583941604E-2</v>
      </c>
      <c r="D7" s="313"/>
    </row>
    <row r="8" spans="2:4" x14ac:dyDescent="0.25">
      <c r="B8" s="315" t="s">
        <v>313</v>
      </c>
      <c r="C8" s="316">
        <v>5.8394160583941604E-2</v>
      </c>
      <c r="D8" s="313"/>
    </row>
    <row r="9" spans="2:4" x14ac:dyDescent="0.25">
      <c r="B9" s="315" t="s">
        <v>297</v>
      </c>
      <c r="C9" s="316">
        <v>4.3795620437956206E-2</v>
      </c>
      <c r="D9" s="313"/>
    </row>
    <row r="10" spans="2:4" x14ac:dyDescent="0.25">
      <c r="B10" s="315" t="s">
        <v>287</v>
      </c>
      <c r="C10" s="316">
        <v>3.6496350364963501E-2</v>
      </c>
      <c r="D10" s="313"/>
    </row>
    <row r="11" spans="2:4" x14ac:dyDescent="0.25">
      <c r="B11" s="315" t="s">
        <v>289</v>
      </c>
      <c r="C11" s="316">
        <v>2.9197080291970802E-2</v>
      </c>
      <c r="D11" s="313"/>
    </row>
    <row r="12" spans="2:4" x14ac:dyDescent="0.25">
      <c r="B12" s="315" t="s">
        <v>303</v>
      </c>
      <c r="C12" s="316">
        <v>2.9197080291970802E-2</v>
      </c>
      <c r="D12" s="313"/>
    </row>
    <row r="13" spans="2:4" x14ac:dyDescent="0.25">
      <c r="B13" s="315" t="s">
        <v>293</v>
      </c>
      <c r="C13" s="316">
        <v>2.1897810218978103E-2</v>
      </c>
      <c r="D13" s="313"/>
    </row>
    <row r="14" spans="2:4" x14ac:dyDescent="0.25">
      <c r="B14" s="315" t="s">
        <v>301</v>
      </c>
      <c r="C14" s="316">
        <v>2.1897810218978103E-2</v>
      </c>
      <c r="D14" s="313"/>
    </row>
    <row r="15" spans="2:4" x14ac:dyDescent="0.25">
      <c r="B15" s="315" t="s">
        <v>295</v>
      </c>
      <c r="C15" s="316">
        <v>1.4598540145985401E-2</v>
      </c>
      <c r="D15" s="313"/>
    </row>
    <row r="16" spans="2:4" x14ac:dyDescent="0.25">
      <c r="B16" s="315" t="s">
        <v>380</v>
      </c>
      <c r="C16" s="316">
        <v>1.4598540145985401E-2</v>
      </c>
      <c r="D16" s="313"/>
    </row>
    <row r="17" spans="2:4" x14ac:dyDescent="0.25">
      <c r="B17" s="315" t="s">
        <v>318</v>
      </c>
      <c r="C17" s="316">
        <v>1.4598540145985401E-2</v>
      </c>
      <c r="D17" s="313"/>
    </row>
    <row r="18" spans="2:4" x14ac:dyDescent="0.25">
      <c r="B18" s="315" t="s">
        <v>288</v>
      </c>
      <c r="C18" s="316">
        <v>7.2992700729927005E-3</v>
      </c>
      <c r="D18" s="313"/>
    </row>
    <row r="19" spans="2:4" x14ac:dyDescent="0.25">
      <c r="B19" s="315" t="s">
        <v>381</v>
      </c>
      <c r="C19" s="316">
        <v>7.2992700729927005E-3</v>
      </c>
      <c r="D19" s="313"/>
    </row>
    <row r="20" spans="2:4" x14ac:dyDescent="0.25">
      <c r="B20" s="315" t="s">
        <v>328</v>
      </c>
      <c r="C20" s="316">
        <v>7.2992700729927005E-3</v>
      </c>
      <c r="D20" s="313"/>
    </row>
    <row r="21" spans="2:4" x14ac:dyDescent="0.25">
      <c r="B21" s="313" t="s">
        <v>343</v>
      </c>
      <c r="C21" s="313" t="s">
        <v>346</v>
      </c>
      <c r="D21" s="313"/>
    </row>
    <row r="22" spans="2:4" x14ac:dyDescent="0.25">
      <c r="B22" s="315" t="s">
        <v>380</v>
      </c>
      <c r="C22" s="316">
        <v>0.28408512004454156</v>
      </c>
      <c r="D22" s="313"/>
    </row>
    <row r="23" spans="2:4" x14ac:dyDescent="0.25">
      <c r="B23" s="315" t="s">
        <v>309</v>
      </c>
      <c r="C23" s="316">
        <v>0.23678489170270378</v>
      </c>
      <c r="D23" s="313"/>
    </row>
    <row r="24" spans="2:4" x14ac:dyDescent="0.25">
      <c r="B24" s="315" t="s">
        <v>308</v>
      </c>
      <c r="C24" s="316">
        <v>0.19358953953331259</v>
      </c>
      <c r="D24" s="313"/>
    </row>
    <row r="25" spans="2:4" x14ac:dyDescent="0.25">
      <c r="B25" s="315" t="s">
        <v>325</v>
      </c>
      <c r="C25" s="316">
        <v>0.10441154625729872</v>
      </c>
      <c r="D25" s="313"/>
    </row>
    <row r="26" spans="2:4" x14ac:dyDescent="0.25">
      <c r="B26" s="315" t="s">
        <v>381</v>
      </c>
      <c r="C26" s="316">
        <v>9.1350261114662101E-2</v>
      </c>
      <c r="D26" s="313"/>
    </row>
    <row r="27" spans="2:4" x14ac:dyDescent="0.25">
      <c r="B27" s="315" t="s">
        <v>287</v>
      </c>
      <c r="C27" s="316">
        <v>7.2402130118936134E-2</v>
      </c>
      <c r="D27" s="313"/>
    </row>
    <row r="28" spans="2:4" x14ac:dyDescent="0.25">
      <c r="B28" s="315" t="s">
        <v>313</v>
      </c>
      <c r="C28" s="316">
        <v>1.737651122854467E-2</v>
      </c>
      <c r="D28" s="313"/>
    </row>
    <row r="29" spans="2:4" x14ac:dyDescent="0.25">
      <c r="B29" s="315" t="s">
        <v>303</v>
      </c>
      <c r="C29" s="316">
        <v>2.4598368506308553E-16</v>
      </c>
      <c r="D29" s="313"/>
    </row>
    <row r="30" spans="2:4" x14ac:dyDescent="0.25">
      <c r="B30" s="315" t="s">
        <v>288</v>
      </c>
      <c r="C30" s="316">
        <v>2.0498640421923792E-16</v>
      </c>
      <c r="D30" s="313"/>
    </row>
    <row r="31" spans="2:4" x14ac:dyDescent="0.25">
      <c r="B31" s="315" t="s">
        <v>344</v>
      </c>
      <c r="C31" s="316">
        <v>1</v>
      </c>
      <c r="D31" s="313"/>
    </row>
    <row r="32" spans="2:4" x14ac:dyDescent="0.25">
      <c r="D32" s="313"/>
    </row>
    <row r="33" spans="4:4" x14ac:dyDescent="0.25">
      <c r="D33" s="313"/>
    </row>
    <row r="34" spans="4:4" x14ac:dyDescent="0.25">
      <c r="D34" s="313"/>
    </row>
    <row r="35" spans="4:4" x14ac:dyDescent="0.25">
      <c r="D35" s="313"/>
    </row>
    <row r="36" spans="4:4" x14ac:dyDescent="0.25">
      <c r="D36" s="313"/>
    </row>
    <row r="37" spans="4:4" x14ac:dyDescent="0.25">
      <c r="D37" s="3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3" tint="-0.249977111117893"/>
  </sheetPr>
  <dimension ref="A1:L192"/>
  <sheetViews>
    <sheetView topLeftCell="A6" workbookViewId="0">
      <selection activeCell="I4" sqref="I4"/>
    </sheetView>
  </sheetViews>
  <sheetFormatPr baseColWidth="10" defaultRowHeight="15" x14ac:dyDescent="0.25"/>
  <cols>
    <col min="1" max="2" width="2.7109375" style="201" customWidth="1"/>
    <col min="3" max="3" width="36.7109375" style="201" customWidth="1"/>
    <col min="4" max="5" width="15.7109375" style="201" customWidth="1"/>
    <col min="6" max="8" width="16.7109375" style="201" customWidth="1"/>
    <col min="9" max="9" width="18.7109375" style="201" customWidth="1"/>
    <col min="10" max="11" width="2.7109375" style="201" customWidth="1"/>
    <col min="12" max="12" width="16.85546875" style="201" bestFit="1" customWidth="1"/>
    <col min="13" max="16384" width="11.42578125" style="201"/>
  </cols>
  <sheetData>
    <row r="1" spans="2:12" s="294" customFormat="1" ht="15.95" customHeight="1" x14ac:dyDescent="0.25">
      <c r="B1" s="287"/>
      <c r="C1" s="288"/>
      <c r="D1" s="288"/>
      <c r="E1" s="288"/>
      <c r="F1" s="288"/>
      <c r="G1" s="288"/>
      <c r="H1" s="288"/>
      <c r="I1" s="288"/>
      <c r="J1" s="289"/>
    </row>
    <row r="2" spans="2:12" s="294" customFormat="1" ht="20.100000000000001" customHeight="1" x14ac:dyDescent="0.25">
      <c r="B2" s="290"/>
      <c r="C2" s="295"/>
      <c r="D2" s="295"/>
      <c r="E2" s="295"/>
      <c r="F2" s="295"/>
      <c r="G2" s="625" t="s">
        <v>340</v>
      </c>
      <c r="H2" s="625"/>
      <c r="I2" s="625"/>
      <c r="J2" s="299"/>
    </row>
    <row r="3" spans="2:12" s="294" customFormat="1" ht="15.95" customHeight="1" x14ac:dyDescent="0.25">
      <c r="B3" s="290"/>
      <c r="C3" s="295"/>
      <c r="D3" s="295"/>
      <c r="E3" s="295"/>
      <c r="F3" s="295"/>
      <c r="G3" s="295"/>
      <c r="H3" s="295"/>
      <c r="I3" s="295"/>
      <c r="J3" s="299"/>
    </row>
    <row r="4" spans="2:12" s="294" customFormat="1" ht="15.95" customHeight="1" x14ac:dyDescent="0.25">
      <c r="B4" s="290"/>
      <c r="C4" s="295"/>
      <c r="D4" s="295"/>
      <c r="E4" s="295"/>
      <c r="F4" s="295"/>
      <c r="G4" s="295"/>
      <c r="H4" s="297" t="s">
        <v>0</v>
      </c>
      <c r="I4" s="298">
        <f>+Reporte!N6</f>
        <v>45861</v>
      </c>
      <c r="J4" s="299"/>
    </row>
    <row r="5" spans="2:12" s="294" customFormat="1" ht="15.95" customHeight="1" x14ac:dyDescent="0.25">
      <c r="B5" s="291"/>
      <c r="C5" s="292"/>
      <c r="D5" s="292"/>
      <c r="E5" s="292"/>
      <c r="F5" s="292"/>
      <c r="G5" s="292"/>
      <c r="H5" s="292"/>
      <c r="I5" s="292"/>
      <c r="J5" s="293"/>
    </row>
    <row r="6" spans="2:12" x14ac:dyDescent="0.25">
      <c r="B6" s="290"/>
      <c r="C6" s="295"/>
      <c r="D6" s="295"/>
      <c r="E6" s="295"/>
      <c r="F6" s="295"/>
      <c r="G6" s="295"/>
      <c r="H6" s="295"/>
      <c r="I6" s="295"/>
      <c r="J6" s="296"/>
    </row>
    <row r="7" spans="2:12" ht="20.100000000000001" customHeight="1" x14ac:dyDescent="0.25">
      <c r="B7" s="626" t="s">
        <v>341</v>
      </c>
      <c r="C7" s="627"/>
      <c r="D7" s="627"/>
      <c r="E7" s="627"/>
      <c r="F7" s="627"/>
      <c r="G7" s="627"/>
      <c r="H7" s="627"/>
      <c r="I7" s="627"/>
      <c r="J7" s="628"/>
    </row>
    <row r="8" spans="2:12" x14ac:dyDescent="0.25">
      <c r="B8" s="290"/>
      <c r="C8" s="295"/>
      <c r="D8" s="295"/>
      <c r="E8" s="295"/>
      <c r="F8" s="295"/>
      <c r="G8" s="295"/>
      <c r="H8" s="295"/>
      <c r="I8" s="295"/>
      <c r="J8" s="296"/>
    </row>
    <row r="9" spans="2:12" ht="9.9499999999999993" customHeight="1" x14ac:dyDescent="0.25">
      <c r="B9" s="290"/>
      <c r="C9" s="287"/>
      <c r="D9" s="288"/>
      <c r="E9" s="288"/>
      <c r="F9" s="288"/>
      <c r="G9" s="288"/>
      <c r="H9" s="288"/>
      <c r="I9" s="289"/>
      <c r="J9" s="296"/>
    </row>
    <row r="10" spans="2:12" ht="20.100000000000001" customHeight="1" x14ac:dyDescent="0.25">
      <c r="B10" s="290"/>
      <c r="C10" s="290"/>
      <c r="D10" s="632" t="s">
        <v>337</v>
      </c>
      <c r="E10" s="633"/>
      <c r="F10" s="633"/>
      <c r="G10" s="633" t="s">
        <v>338</v>
      </c>
      <c r="H10" s="633"/>
      <c r="I10" s="634"/>
      <c r="J10" s="296"/>
    </row>
    <row r="11" spans="2:12" ht="39.950000000000003" customHeight="1" x14ac:dyDescent="0.25">
      <c r="B11" s="290"/>
      <c r="C11" s="282" t="s">
        <v>33</v>
      </c>
      <c r="D11" s="283" t="s">
        <v>18</v>
      </c>
      <c r="E11" s="284" t="s">
        <v>49</v>
      </c>
      <c r="F11" s="284" t="s">
        <v>331</v>
      </c>
      <c r="G11" s="285" t="s">
        <v>329</v>
      </c>
      <c r="H11" s="285" t="s">
        <v>330</v>
      </c>
      <c r="I11" s="286" t="s">
        <v>339</v>
      </c>
      <c r="J11" s="296"/>
    </row>
    <row r="12" spans="2:12" ht="9.9499999999999993" customHeight="1" x14ac:dyDescent="0.25">
      <c r="B12" s="290"/>
      <c r="C12" s="303" t="s">
        <v>325</v>
      </c>
      <c r="D12" s="523">
        <f>COUNTIF(ARS!$D:$D,Tabla2[[#This Row],[Avalistas]])</f>
        <v>13</v>
      </c>
      <c r="E12" s="304">
        <f>COUNTIF(USD!$D:$D,Tabla2[[#This Row],[Avalistas]])</f>
        <v>10</v>
      </c>
      <c r="F12" s="524">
        <f>SUM(Tabla2[[#This Row],[ARS]:[USD]])</f>
        <v>23</v>
      </c>
      <c r="G12" s="305">
        <f>SUMIF(ARS!$D:$D,Tabla2[[#This Row],[Avalistas]],ARS!$F:$F)</f>
        <v>1.4156103134155273E-7</v>
      </c>
      <c r="H12" s="305">
        <f>SUMIF(USD!$D:$D,Tabla2[[#This Row],[Avalistas]],USD!$F:$F)</f>
        <v>333333.33333333326</v>
      </c>
      <c r="I12" s="435">
        <f>+Tabla2[[#This Row],[$ARS]]+(Tabla2[[#This Row],[$USD]]*VLOOKUP(WORKDAY.INTL($I$4,-1,1),'Tasas-TC'!A:C,3,FALSE))</f>
        <v>385390000.00000006</v>
      </c>
      <c r="J12" s="296"/>
    </row>
    <row r="13" spans="2:12" ht="15.95" customHeight="1" x14ac:dyDescent="0.25">
      <c r="B13" s="290"/>
      <c r="C13" s="303" t="s">
        <v>326</v>
      </c>
      <c r="D13" s="306">
        <f>COUNTIF(ARS!$D:$D,Tabla2[[#This Row],[Avalistas]])</f>
        <v>0</v>
      </c>
      <c r="E13" s="307">
        <f>COUNTIF(USD!$D:$D,Tabla2[[#This Row],[Avalistas]])</f>
        <v>0</v>
      </c>
      <c r="F13" s="308">
        <f>SUM(Tabla2[[#This Row],[ARS]:[USD]])</f>
        <v>0</v>
      </c>
      <c r="G13" s="305">
        <f>SUMIF(ARS!$D:$D,Tabla2[[#This Row],[Avalistas]],ARS!$F:$F)</f>
        <v>0</v>
      </c>
      <c r="H13" s="305">
        <f>SUMIF(USD!$D:$D,Tabla2[[#This Row],[Avalistas]],USD!$F:$F)</f>
        <v>0</v>
      </c>
      <c r="I13" s="309">
        <f>+Tabla2[[#This Row],[$ARS]]+(Tabla2[[#This Row],[$USD]]*VLOOKUP(WORKDAY.INTL($I$4,-1,1),'Tasas-TC'!A:C,3,FALSE))</f>
        <v>0</v>
      </c>
      <c r="J13" s="296"/>
      <c r="L13" s="422"/>
    </row>
    <row r="14" spans="2:12" ht="15.95" customHeight="1" x14ac:dyDescent="0.25">
      <c r="B14" s="290"/>
      <c r="C14" s="303" t="s">
        <v>284</v>
      </c>
      <c r="D14" s="306">
        <f>COUNTIF(ARS!$D:$D,Tabla2[[#This Row],[Avalistas]])</f>
        <v>0</v>
      </c>
      <c r="E14" s="307">
        <f>COUNTIF(USD!$D:$D,Tabla2[[#This Row],[Avalistas]])</f>
        <v>0</v>
      </c>
      <c r="F14" s="308">
        <f>SUM(Tabla2[[#This Row],[ARS]:[USD]])</f>
        <v>0</v>
      </c>
      <c r="G14" s="305">
        <f>SUMIF(ARS!$D:$D,Tabla2[[#This Row],[Avalistas]],ARS!$F:$F)</f>
        <v>0</v>
      </c>
      <c r="H14" s="305">
        <f>SUMIF(USD!$D:$D,Tabla2[[#This Row],[Avalistas]],USD!$F:$F)</f>
        <v>0</v>
      </c>
      <c r="I14" s="309">
        <f>+Tabla2[[#This Row],[$ARS]]+(Tabla2[[#This Row],[$USD]]*VLOOKUP(WORKDAY.INTL($I$4,-1,1),'Tasas-TC'!A:C,3,FALSE))</f>
        <v>0</v>
      </c>
      <c r="J14" s="296"/>
      <c r="L14" s="422"/>
    </row>
    <row r="15" spans="2:12" ht="15.95" customHeight="1" x14ac:dyDescent="0.25">
      <c r="B15" s="290"/>
      <c r="C15" s="303" t="s">
        <v>285</v>
      </c>
      <c r="D15" s="306">
        <f>COUNTIF(ARS!$D:$D,Tabla2[[#This Row],[Avalistas]])</f>
        <v>0</v>
      </c>
      <c r="E15" s="307">
        <f>COUNTIF(USD!$D:$D,Tabla2[[#This Row],[Avalistas]])</f>
        <v>0</v>
      </c>
      <c r="F15" s="308">
        <f>SUM(Tabla2[[#This Row],[ARS]:[USD]])</f>
        <v>0</v>
      </c>
      <c r="G15" s="305">
        <f>SUMIF(ARS!$D:$D,Tabla2[[#This Row],[Avalistas]],ARS!$F:$F)</f>
        <v>0</v>
      </c>
      <c r="H15" s="305">
        <f>SUMIF(USD!$D:$D,Tabla2[[#This Row],[Avalistas]],USD!$F:$F)</f>
        <v>0</v>
      </c>
      <c r="I15" s="309">
        <f>+Tabla2[[#This Row],[$ARS]]+(Tabla2[[#This Row],[$USD]]*VLOOKUP(WORKDAY.INTL($I$4,-1,1),'Tasas-TC'!A:C,3,FALSE))</f>
        <v>0</v>
      </c>
      <c r="J15" s="296"/>
      <c r="L15" s="422"/>
    </row>
    <row r="16" spans="2:12" ht="15.95" customHeight="1" x14ac:dyDescent="0.25">
      <c r="B16" s="290"/>
      <c r="C16" s="303" t="s">
        <v>327</v>
      </c>
      <c r="D16" s="306">
        <f>COUNTIF(ARS!$D:$D,Tabla2[[#This Row],[Avalistas]])</f>
        <v>0</v>
      </c>
      <c r="E16" s="307">
        <f>COUNTIF(USD!$D:$D,Tabla2[[#This Row],[Avalistas]])</f>
        <v>0</v>
      </c>
      <c r="F16" s="308">
        <f>SUM(Tabla2[[#This Row],[ARS]:[USD]])</f>
        <v>0</v>
      </c>
      <c r="G16" s="305">
        <f>SUMIF(ARS!$D:$D,Tabla2[[#This Row],[Avalistas]],ARS!$F:$F)</f>
        <v>0</v>
      </c>
      <c r="H16" s="305">
        <f>SUMIF(USD!$D:$D,Tabla2[[#This Row],[Avalistas]],USD!$F:$F)</f>
        <v>0</v>
      </c>
      <c r="I16" s="309">
        <f>+Tabla2[[#This Row],[$ARS]]+(Tabla2[[#This Row],[$USD]]*VLOOKUP(WORKDAY.INTL($I$4,-1,1),'Tasas-TC'!A:C,3,FALSE))</f>
        <v>0</v>
      </c>
      <c r="J16" s="296"/>
      <c r="L16" s="422"/>
    </row>
    <row r="17" spans="2:12" ht="15.95" customHeight="1" x14ac:dyDescent="0.25">
      <c r="B17" s="290"/>
      <c r="C17" s="303" t="s">
        <v>286</v>
      </c>
      <c r="D17" s="306">
        <f>COUNTIF(ARS!$D:$D,Tabla2[[#This Row],[Avalistas]])</f>
        <v>0</v>
      </c>
      <c r="E17" s="307">
        <f>COUNTIF(USD!$D:$D,Tabla2[[#This Row],[Avalistas]])</f>
        <v>0</v>
      </c>
      <c r="F17" s="308">
        <f>SUM(Tabla2[[#This Row],[ARS]:[USD]])</f>
        <v>0</v>
      </c>
      <c r="G17" s="305">
        <f>SUMIF(ARS!$D:$D,Tabla2[[#This Row],[Avalistas]],ARS!$F:$F)</f>
        <v>0</v>
      </c>
      <c r="H17" s="305">
        <f>SUMIF(USD!$D:$D,Tabla2[[#This Row],[Avalistas]],USD!$F:$F)</f>
        <v>0</v>
      </c>
      <c r="I17" s="309">
        <f>+Tabla2[[#This Row],[$ARS]]+(Tabla2[[#This Row],[$USD]]*VLOOKUP(WORKDAY.INTL($I$4,-1,1),'Tasas-TC'!A:C,3,FALSE))</f>
        <v>0</v>
      </c>
      <c r="J17" s="296"/>
      <c r="L17" s="422"/>
    </row>
    <row r="18" spans="2:12" ht="15.95" customHeight="1" x14ac:dyDescent="0.25">
      <c r="B18" s="290"/>
      <c r="C18" s="303" t="s">
        <v>287</v>
      </c>
      <c r="D18" s="306">
        <f>COUNTIF(ARS!$D:$D,Tabla2[[#This Row],[Avalistas]])</f>
        <v>2</v>
      </c>
      <c r="E18" s="307">
        <f>COUNTIF(USD!$D:$D,Tabla2[[#This Row],[Avalistas]])</f>
        <v>3</v>
      </c>
      <c r="F18" s="308">
        <f>SUM(Tabla2[[#This Row],[ARS]:[USD]])</f>
        <v>5</v>
      </c>
      <c r="G18" s="305">
        <f>SUMIF(ARS!$D:$D,Tabla2[[#This Row],[Avalistas]],ARS!$F:$F)</f>
        <v>0</v>
      </c>
      <c r="H18" s="305">
        <f>SUMIF(USD!$D:$D,Tabla2[[#This Row],[Avalistas]],USD!$F:$F)</f>
        <v>0</v>
      </c>
      <c r="I18" s="309">
        <f>+Tabla2[[#This Row],[$ARS]]+(Tabla2[[#This Row],[$USD]]*VLOOKUP(WORKDAY.INTL($I$4,-1,1),'Tasas-TC'!A:C,3,FALSE))</f>
        <v>0</v>
      </c>
      <c r="J18" s="296"/>
      <c r="L18" s="422"/>
    </row>
    <row r="19" spans="2:12" ht="15.95" customHeight="1" x14ac:dyDescent="0.25">
      <c r="B19" s="290"/>
      <c r="C19" s="303" t="s">
        <v>288</v>
      </c>
      <c r="D19" s="306">
        <f>COUNTIF(ARS!$D:$D,Tabla2[[#This Row],[Avalistas]])</f>
        <v>1</v>
      </c>
      <c r="E19" s="307">
        <f>COUNTIF(USD!$D:$D,Tabla2[[#This Row],[Avalistas]])</f>
        <v>0</v>
      </c>
      <c r="F19" s="308">
        <f>SUM(Tabla2[[#This Row],[ARS]:[USD]])</f>
        <v>1</v>
      </c>
      <c r="G19" s="305">
        <f>SUMIF(ARS!$D:$D,Tabla2[[#This Row],[Avalistas]],ARS!$F:$F)</f>
        <v>1.4156103134155273E-7</v>
      </c>
      <c r="H19" s="305">
        <f>SUMIF(USD!$D:$D,Tabla2[[#This Row],[Avalistas]],USD!$F:$F)</f>
        <v>0</v>
      </c>
      <c r="I19" s="309">
        <f>+Tabla2[[#This Row],[$ARS]]+(Tabla2[[#This Row],[$USD]]*VLOOKUP(WORKDAY.INTL($I$4,-1,1),'Tasas-TC'!A:C,3,FALSE))</f>
        <v>1.4156103134155273E-7</v>
      </c>
      <c r="J19" s="296"/>
      <c r="L19" s="422"/>
    </row>
    <row r="20" spans="2:12" ht="15.95" customHeight="1" x14ac:dyDescent="0.25">
      <c r="B20" s="290"/>
      <c r="C20" s="303" t="s">
        <v>289</v>
      </c>
      <c r="D20" s="306">
        <f>COUNTIF(ARS!$D:$D,Tabla2[[#This Row],[Avalistas]])</f>
        <v>2</v>
      </c>
      <c r="E20" s="307">
        <f>COUNTIF(USD!$D:$D,Tabla2[[#This Row],[Avalistas]])</f>
        <v>2</v>
      </c>
      <c r="F20" s="308">
        <f>SUM(Tabla2[[#This Row],[ARS]:[USD]])</f>
        <v>4</v>
      </c>
      <c r="G20" s="305">
        <f>SUMIF(ARS!$D:$D,Tabla2[[#This Row],[Avalistas]],ARS!$F:$F)</f>
        <v>0</v>
      </c>
      <c r="H20" s="305">
        <f>SUMIF(USD!$D:$D,Tabla2[[#This Row],[Avalistas]],USD!$F:$F)</f>
        <v>0</v>
      </c>
      <c r="I20" s="309">
        <f>+Tabla2[[#This Row],[$ARS]]+(Tabla2[[#This Row],[$USD]]*VLOOKUP(WORKDAY.INTL($I$4,-1,1),'Tasas-TC'!A:C,3,FALSE))</f>
        <v>0</v>
      </c>
      <c r="J20" s="296"/>
      <c r="L20" s="422"/>
    </row>
    <row r="21" spans="2:12" ht="15.95" customHeight="1" x14ac:dyDescent="0.25">
      <c r="B21" s="290"/>
      <c r="C21" s="303" t="s">
        <v>290</v>
      </c>
      <c r="D21" s="306">
        <f>COUNTIF(ARS!$D:$D,Tabla2[[#This Row],[Avalistas]])</f>
        <v>0</v>
      </c>
      <c r="E21" s="307">
        <f>COUNTIF(USD!$D:$D,Tabla2[[#This Row],[Avalistas]])</f>
        <v>0</v>
      </c>
      <c r="F21" s="308">
        <f>SUM(Tabla2[[#This Row],[ARS]:[USD]])</f>
        <v>0</v>
      </c>
      <c r="G21" s="305">
        <f>SUMIF(ARS!$D:$D,Tabla2[[#This Row],[Avalistas]],ARS!$F:$F)</f>
        <v>0</v>
      </c>
      <c r="H21" s="305">
        <f>SUMIF(USD!$D:$D,Tabla2[[#This Row],[Avalistas]],USD!$F:$F)</f>
        <v>0</v>
      </c>
      <c r="I21" s="309">
        <f>+Tabla2[[#This Row],[$ARS]]+(Tabla2[[#This Row],[$USD]]*VLOOKUP(WORKDAY.INTL($I$4,-1,1),'Tasas-TC'!A:C,3,FALSE))</f>
        <v>0</v>
      </c>
      <c r="J21" s="296"/>
      <c r="L21" s="422"/>
    </row>
    <row r="22" spans="2:12" ht="15.95" customHeight="1" x14ac:dyDescent="0.25">
      <c r="B22" s="290"/>
      <c r="C22" s="303" t="s">
        <v>291</v>
      </c>
      <c r="D22" s="306">
        <f>COUNTIF(ARS!$D:$D,Tabla2[[#This Row],[Avalistas]])</f>
        <v>0</v>
      </c>
      <c r="E22" s="307">
        <f>COUNTIF(USD!$D:$D,Tabla2[[#This Row],[Avalistas]])</f>
        <v>0</v>
      </c>
      <c r="F22" s="308">
        <f>SUM(Tabla2[[#This Row],[ARS]:[USD]])</f>
        <v>0</v>
      </c>
      <c r="G22" s="305">
        <f>SUMIF(ARS!$D:$D,Tabla2[[#This Row],[Avalistas]],ARS!$F:$F)</f>
        <v>0</v>
      </c>
      <c r="H22" s="305">
        <f>SUMIF(USD!$D:$D,Tabla2[[#This Row],[Avalistas]],USD!$F:$F)</f>
        <v>0</v>
      </c>
      <c r="I22" s="309">
        <f>+Tabla2[[#This Row],[$ARS]]+(Tabla2[[#This Row],[$USD]]*VLOOKUP(WORKDAY.INTL($I$4,-1,1),'Tasas-TC'!A:C,3,FALSE))</f>
        <v>0</v>
      </c>
      <c r="J22" s="296"/>
      <c r="L22" s="422"/>
    </row>
    <row r="23" spans="2:12" ht="15.95" customHeight="1" x14ac:dyDescent="0.25">
      <c r="B23" s="290"/>
      <c r="C23" s="303" t="s">
        <v>292</v>
      </c>
      <c r="D23" s="306">
        <f>COUNTIF(ARS!$D:$D,Tabla2[[#This Row],[Avalistas]])</f>
        <v>0</v>
      </c>
      <c r="E23" s="307">
        <f>COUNTIF(USD!$D:$D,Tabla2[[#This Row],[Avalistas]])</f>
        <v>0</v>
      </c>
      <c r="F23" s="308">
        <f>SUM(Tabla2[[#This Row],[ARS]:[USD]])</f>
        <v>0</v>
      </c>
      <c r="G23" s="305">
        <f>SUMIF(ARS!$D:$D,Tabla2[[#This Row],[Avalistas]],ARS!$F:$F)</f>
        <v>0</v>
      </c>
      <c r="H23" s="305">
        <f>SUMIF(USD!$D:$D,Tabla2[[#This Row],[Avalistas]],USD!$F:$F)</f>
        <v>0</v>
      </c>
      <c r="I23" s="309">
        <f>+Tabla2[[#This Row],[$ARS]]+(Tabla2[[#This Row],[$USD]]*VLOOKUP(WORKDAY.INTL($I$4,-1,1),'Tasas-TC'!A:C,3,FALSE))</f>
        <v>0</v>
      </c>
      <c r="J23" s="296"/>
      <c r="L23" s="422"/>
    </row>
    <row r="24" spans="2:12" ht="15.95" customHeight="1" x14ac:dyDescent="0.25">
      <c r="B24" s="290"/>
      <c r="C24" s="303" t="s">
        <v>293</v>
      </c>
      <c r="D24" s="306">
        <f>COUNTIF(ARS!$D:$D,Tabla2[[#This Row],[Avalistas]])</f>
        <v>3</v>
      </c>
      <c r="E24" s="307">
        <f>COUNTIF(USD!$D:$D,Tabla2[[#This Row],[Avalistas]])</f>
        <v>2</v>
      </c>
      <c r="F24" s="308">
        <f>SUM(Tabla2[[#This Row],[ARS]:[USD]])</f>
        <v>5</v>
      </c>
      <c r="G24" s="305">
        <f>SUMIF(ARS!$D:$D,Tabla2[[#This Row],[Avalistas]],ARS!$F:$F)</f>
        <v>200000000</v>
      </c>
      <c r="H24" s="305">
        <f>SUMIF(USD!$D:$D,Tabla2[[#This Row],[Avalistas]],USD!$F:$F)</f>
        <v>0</v>
      </c>
      <c r="I24" s="309">
        <f>+Tabla2[[#This Row],[$ARS]]+(Tabla2[[#This Row],[$USD]]*VLOOKUP(WORKDAY.INTL($I$4,-1,1),'Tasas-TC'!A:C,3,FALSE))</f>
        <v>200000000</v>
      </c>
      <c r="J24" s="296"/>
      <c r="L24" s="422"/>
    </row>
    <row r="25" spans="2:12" ht="15.95" customHeight="1" x14ac:dyDescent="0.25">
      <c r="B25" s="290"/>
      <c r="C25" s="303" t="s">
        <v>294</v>
      </c>
      <c r="D25" s="306">
        <f>COUNTIF(ARS!$D:$D,Tabla2[[#This Row],[Avalistas]])</f>
        <v>0</v>
      </c>
      <c r="E25" s="307">
        <f>COUNTIF(USD!$D:$D,Tabla2[[#This Row],[Avalistas]])</f>
        <v>0</v>
      </c>
      <c r="F25" s="308">
        <f>SUM(Tabla2[[#This Row],[ARS]:[USD]])</f>
        <v>0</v>
      </c>
      <c r="G25" s="305">
        <f>SUMIF(ARS!$D:$D,Tabla2[[#This Row],[Avalistas]],ARS!$F:$F)</f>
        <v>0</v>
      </c>
      <c r="H25" s="305">
        <f>SUMIF(USD!$D:$D,Tabla2[[#This Row],[Avalistas]],USD!$F:$F)</f>
        <v>0</v>
      </c>
      <c r="I25" s="309">
        <f>+Tabla2[[#This Row],[$ARS]]+(Tabla2[[#This Row],[$USD]]*VLOOKUP(WORKDAY.INTL($I$4,-1,1),'Tasas-TC'!A:C,3,FALSE))</f>
        <v>0</v>
      </c>
      <c r="J25" s="296"/>
      <c r="L25" s="422"/>
    </row>
    <row r="26" spans="2:12" ht="15.95" customHeight="1" x14ac:dyDescent="0.25">
      <c r="B26" s="290"/>
      <c r="C26" s="411" t="s">
        <v>381</v>
      </c>
      <c r="D26" s="412">
        <f>+IF(COUNTIF(ARS!$D:$D,Tabla2[[#This Row],[Avalistas]])=0,"",COUNTIF(ARS!$D:$D,Tabla2[[#This Row],[Avalistas]]))</f>
        <v>1</v>
      </c>
      <c r="E26" s="307">
        <f>COUNTIF(USD!$D:$D,Tabla2[[#This Row],[Avalistas]])</f>
        <v>0</v>
      </c>
      <c r="F26" s="413">
        <f>SUM(Tabla2[[#This Row],[ARS]:[USD]])</f>
        <v>1</v>
      </c>
      <c r="G26" s="305">
        <f>SUMIF(ARS!$D:$D,Tabla2[[#This Row],[Avalistas]],ARS!$F:$F)</f>
        <v>6.3085346406698217E-2</v>
      </c>
      <c r="H26" s="305">
        <f>SUMIF(USD!$D:$D,Tabla2[[#This Row],[Avalistas]],USD!$F:$F)</f>
        <v>0</v>
      </c>
      <c r="I26" s="309">
        <f>+Tabla2[[#This Row],[$ARS]]+(Tabla2[[#This Row],[$USD]]*VLOOKUP(WORKDAY.INTL($I$4,-1,1),'Tasas-TC'!A:C,3,FALSE))</f>
        <v>6.3085346406698217E-2</v>
      </c>
      <c r="J26" s="296"/>
      <c r="L26" s="422"/>
    </row>
    <row r="27" spans="2:12" ht="15.95" customHeight="1" x14ac:dyDescent="0.25">
      <c r="B27" s="290"/>
      <c r="C27" s="303" t="s">
        <v>328</v>
      </c>
      <c r="D27" s="306">
        <f>COUNTIF(ARS!$D:$D,Tabla2[[#This Row],[Avalistas]])</f>
        <v>1</v>
      </c>
      <c r="E27" s="307">
        <f>COUNTIF(USD!$D:$D,Tabla2[[#This Row],[Avalistas]])</f>
        <v>0</v>
      </c>
      <c r="F27" s="308">
        <f>SUM(Tabla2[[#This Row],[ARS]:[USD]])</f>
        <v>1</v>
      </c>
      <c r="G27" s="305">
        <f>SUMIF(ARS!$D:$D,Tabla2[[#This Row],[Avalistas]],ARS!$F:$F)</f>
        <v>0</v>
      </c>
      <c r="H27" s="305">
        <f>SUMIF(USD!$D:$D,Tabla2[[#This Row],[Avalistas]],USD!$F:$F)</f>
        <v>0</v>
      </c>
      <c r="I27" s="309">
        <f>+Tabla2[[#This Row],[$ARS]]+(Tabla2[[#This Row],[$USD]]*VLOOKUP(WORKDAY.INTL($I$4,-1,1),'Tasas-TC'!A:C,3,FALSE))</f>
        <v>0</v>
      </c>
      <c r="J27" s="296"/>
      <c r="L27" s="422"/>
    </row>
    <row r="28" spans="2:12" ht="15.95" customHeight="1" x14ac:dyDescent="0.25">
      <c r="B28" s="290"/>
      <c r="C28" s="411" t="s">
        <v>380</v>
      </c>
      <c r="D28" s="412">
        <f>+IF(COUNTIF(ARS!$D:$D,Tabla2[[#This Row],[Avalistas]])=0,"",COUNTIF(ARS!$D:$D,Tabla2[[#This Row],[Avalistas]]))</f>
        <v>2</v>
      </c>
      <c r="E28" s="307">
        <f>COUNTIF(USD!$D:$D,Tabla2[[#This Row],[Avalistas]])</f>
        <v>0</v>
      </c>
      <c r="F28" s="413">
        <f>SUM(Tabla2[[#This Row],[ARS]:[USD]])</f>
        <v>2</v>
      </c>
      <c r="G28" s="305">
        <f>SUMIF(ARS!$D:$D,Tabla2[[#This Row],[Avalistas]],ARS!$F:$F)</f>
        <v>0.12619662593901154</v>
      </c>
      <c r="H28" s="305">
        <f>SUMIF(USD!$D:$D,Tabla2[[#This Row],[Avalistas]],USD!$F:$F)</f>
        <v>0</v>
      </c>
      <c r="I28" s="309">
        <f>+Tabla2[[#This Row],[$ARS]]+(Tabla2[[#This Row],[$USD]]*VLOOKUP(WORKDAY.INTL($I$4,-1,1),'Tasas-TC'!A:C,3,FALSE))</f>
        <v>0.12619662593901154</v>
      </c>
      <c r="J28" s="296"/>
      <c r="L28" s="422"/>
    </row>
    <row r="29" spans="2:12" ht="15.95" customHeight="1" x14ac:dyDescent="0.25">
      <c r="B29" s="290"/>
      <c r="C29" s="303" t="s">
        <v>295</v>
      </c>
      <c r="D29" s="306">
        <f>COUNTIF(ARS!$D:$D,Tabla2[[#This Row],[Avalistas]])</f>
        <v>0</v>
      </c>
      <c r="E29" s="307">
        <f>COUNTIF(USD!$D:$D,Tabla2[[#This Row],[Avalistas]])</f>
        <v>2</v>
      </c>
      <c r="F29" s="308">
        <f>SUM(Tabla2[[#This Row],[ARS]:[USD]])</f>
        <v>2</v>
      </c>
      <c r="G29" s="305">
        <f>SUMIF(ARS!$D:$D,Tabla2[[#This Row],[Avalistas]],ARS!$F:$F)</f>
        <v>0</v>
      </c>
      <c r="H29" s="305">
        <f>SUMIF(USD!$D:$D,Tabla2[[#This Row],[Avalistas]],USD!$F:$F)</f>
        <v>0</v>
      </c>
      <c r="I29" s="309">
        <f>+Tabla2[[#This Row],[$ARS]]+(Tabla2[[#This Row],[$USD]]*VLOOKUP(WORKDAY.INTL($I$4,-1,1),'Tasas-TC'!A:C,3,FALSE))</f>
        <v>0</v>
      </c>
      <c r="J29" s="296"/>
      <c r="L29" s="422"/>
    </row>
    <row r="30" spans="2:12" ht="15.95" customHeight="1" x14ac:dyDescent="0.25">
      <c r="B30" s="290"/>
      <c r="C30" s="303" t="s">
        <v>296</v>
      </c>
      <c r="D30" s="306">
        <f>COUNTIF(ARS!$D:$D,Tabla2[[#This Row],[Avalistas]])</f>
        <v>0</v>
      </c>
      <c r="E30" s="307">
        <f>COUNTIF(USD!$D:$D,Tabla2[[#This Row],[Avalistas]])</f>
        <v>0</v>
      </c>
      <c r="F30" s="308">
        <f>SUM(Tabla2[[#This Row],[ARS]:[USD]])</f>
        <v>0</v>
      </c>
      <c r="G30" s="305">
        <f>SUMIF(ARS!$D:$D,Tabla2[[#This Row],[Avalistas]],ARS!$F:$F)</f>
        <v>0</v>
      </c>
      <c r="H30" s="305">
        <f>SUMIF(USD!$D:$D,Tabla2[[#This Row],[Avalistas]],USD!$F:$F)</f>
        <v>0</v>
      </c>
      <c r="I30" s="309">
        <f>+Tabla2[[#This Row],[$ARS]]+(Tabla2[[#This Row],[$USD]]*VLOOKUP(WORKDAY.INTL($I$4,-1,1),'Tasas-TC'!A:C,3,FALSE))</f>
        <v>0</v>
      </c>
      <c r="J30" s="296"/>
      <c r="L30" s="422"/>
    </row>
    <row r="31" spans="2:12" ht="15.95" customHeight="1" x14ac:dyDescent="0.25">
      <c r="B31" s="290"/>
      <c r="C31" s="303" t="s">
        <v>297</v>
      </c>
      <c r="D31" s="306">
        <f>COUNTIF(ARS!$D:$D,Tabla2[[#This Row],[Avalistas]])</f>
        <v>1</v>
      </c>
      <c r="E31" s="307">
        <f>COUNTIF(USD!$D:$D,Tabla2[[#This Row],[Avalistas]])</f>
        <v>5</v>
      </c>
      <c r="F31" s="308">
        <f>SUM(Tabla2[[#This Row],[ARS]:[USD]])</f>
        <v>6</v>
      </c>
      <c r="G31" s="305">
        <f>SUMIF(ARS!$D:$D,Tabla2[[#This Row],[Avalistas]],ARS!$F:$F)</f>
        <v>0</v>
      </c>
      <c r="H31" s="305">
        <f>SUMIF(USD!$D:$D,Tabla2[[#This Row],[Avalistas]],USD!$F:$F)</f>
        <v>0</v>
      </c>
      <c r="I31" s="309">
        <f>+Tabla2[[#This Row],[$ARS]]+(Tabla2[[#This Row],[$USD]]*VLOOKUP(WORKDAY.INTL($I$4,-1,1),'Tasas-TC'!A:C,3,FALSE))</f>
        <v>0</v>
      </c>
      <c r="J31" s="296"/>
      <c r="L31" s="422"/>
    </row>
    <row r="32" spans="2:12" ht="15.95" customHeight="1" x14ac:dyDescent="0.25">
      <c r="B32" s="290"/>
      <c r="C32" s="303" t="s">
        <v>298</v>
      </c>
      <c r="D32" s="306">
        <f>COUNTIF(ARS!$D:$D,Tabla2[[#This Row],[Avalistas]])</f>
        <v>0</v>
      </c>
      <c r="E32" s="307">
        <f>COUNTIF(USD!$D:$D,Tabla2[[#This Row],[Avalistas]])</f>
        <v>0</v>
      </c>
      <c r="F32" s="308">
        <f>SUM(Tabla2[[#This Row],[ARS]:[USD]])</f>
        <v>0</v>
      </c>
      <c r="G32" s="305">
        <f>SUMIF(ARS!$D:$D,Tabla2[[#This Row],[Avalistas]],ARS!$F:$F)</f>
        <v>0</v>
      </c>
      <c r="H32" s="305">
        <f>SUMIF(USD!$D:$D,Tabla2[[#This Row],[Avalistas]],USD!$F:$F)</f>
        <v>0</v>
      </c>
      <c r="I32" s="309">
        <f>+Tabla2[[#This Row],[$ARS]]+(Tabla2[[#This Row],[$USD]]*VLOOKUP(WORKDAY.INTL($I$4,-1,1),'Tasas-TC'!A:C,3,FALSE))</f>
        <v>0</v>
      </c>
      <c r="J32" s="296"/>
      <c r="L32" s="422"/>
    </row>
    <row r="33" spans="2:12" ht="15.95" customHeight="1" x14ac:dyDescent="0.25">
      <c r="B33" s="290"/>
      <c r="C33" s="303" t="s">
        <v>299</v>
      </c>
      <c r="D33" s="306">
        <f>COUNTIF(ARS!$D:$D,Tabla2[[#This Row],[Avalistas]])</f>
        <v>0</v>
      </c>
      <c r="E33" s="307">
        <f>COUNTIF(USD!$D:$D,Tabla2[[#This Row],[Avalistas]])</f>
        <v>0</v>
      </c>
      <c r="F33" s="308">
        <f>SUM(Tabla2[[#This Row],[ARS]:[USD]])</f>
        <v>0</v>
      </c>
      <c r="G33" s="305">
        <f>SUMIF(ARS!$D:$D,Tabla2[[#This Row],[Avalistas]],ARS!$F:$F)</f>
        <v>0</v>
      </c>
      <c r="H33" s="305">
        <f>SUMIF(USD!$D:$D,Tabla2[[#This Row],[Avalistas]],USD!$F:$F)</f>
        <v>0</v>
      </c>
      <c r="I33" s="309">
        <f>+Tabla2[[#This Row],[$ARS]]+(Tabla2[[#This Row],[$USD]]*VLOOKUP(WORKDAY.INTL($I$4,-1,1),'Tasas-TC'!A:C,3,FALSE))</f>
        <v>0</v>
      </c>
      <c r="J33" s="296"/>
      <c r="L33" s="422"/>
    </row>
    <row r="34" spans="2:12" ht="15.95" customHeight="1" x14ac:dyDescent="0.25">
      <c r="B34" s="290"/>
      <c r="C34" s="303" t="s">
        <v>300</v>
      </c>
      <c r="D34" s="306">
        <f>COUNTIF(ARS!$D:$D,Tabla2[[#This Row],[Avalistas]])</f>
        <v>0</v>
      </c>
      <c r="E34" s="307">
        <f>COUNTIF(USD!$D:$D,Tabla2[[#This Row],[Avalistas]])</f>
        <v>0</v>
      </c>
      <c r="F34" s="308">
        <f>SUM(Tabla2[[#This Row],[ARS]:[USD]])</f>
        <v>0</v>
      </c>
      <c r="G34" s="305">
        <f>SUMIF(ARS!$D:$D,Tabla2[[#This Row],[Avalistas]],ARS!$F:$F)</f>
        <v>0</v>
      </c>
      <c r="H34" s="305">
        <f>SUMIF(USD!$D:$D,Tabla2[[#This Row],[Avalistas]],USD!$F:$F)</f>
        <v>0</v>
      </c>
      <c r="I34" s="309">
        <f>+Tabla2[[#This Row],[$ARS]]+(Tabla2[[#This Row],[$USD]]*VLOOKUP(WORKDAY.INTL($I$4,-1,1),'Tasas-TC'!A:C,3,FALSE))</f>
        <v>0</v>
      </c>
      <c r="J34" s="296"/>
      <c r="L34" s="422"/>
    </row>
    <row r="35" spans="2:12" ht="15.95" customHeight="1" x14ac:dyDescent="0.25">
      <c r="B35" s="290"/>
      <c r="C35" s="303" t="s">
        <v>301</v>
      </c>
      <c r="D35" s="306">
        <f>COUNTIF(ARS!$D:$D,Tabla2[[#This Row],[Avalistas]])</f>
        <v>1</v>
      </c>
      <c r="E35" s="307">
        <f>COUNTIF(USD!$D:$D,Tabla2[[#This Row],[Avalistas]])</f>
        <v>3</v>
      </c>
      <c r="F35" s="308">
        <f>SUM(Tabla2[[#This Row],[ARS]:[USD]])</f>
        <v>4</v>
      </c>
      <c r="G35" s="305">
        <f>SUMIF(ARS!$D:$D,Tabla2[[#This Row],[Avalistas]],ARS!$F:$F)</f>
        <v>0</v>
      </c>
      <c r="H35" s="305">
        <f>SUMIF(USD!$D:$D,Tabla2[[#This Row],[Avalistas]],USD!$F:$F)</f>
        <v>0</v>
      </c>
      <c r="I35" s="309">
        <f>+Tabla2[[#This Row],[$ARS]]+(Tabla2[[#This Row],[$USD]]*VLOOKUP(WORKDAY.INTL($I$4,-1,1),'Tasas-TC'!A:C,3,FALSE))</f>
        <v>0</v>
      </c>
      <c r="J35" s="296"/>
      <c r="L35" s="422"/>
    </row>
    <row r="36" spans="2:12" ht="15.95" customHeight="1" x14ac:dyDescent="0.25">
      <c r="B36" s="290"/>
      <c r="C36" s="303" t="s">
        <v>302</v>
      </c>
      <c r="D36" s="306">
        <f>COUNTIF(ARS!$D:$D,Tabla2[[#This Row],[Avalistas]])</f>
        <v>0</v>
      </c>
      <c r="E36" s="307">
        <f>COUNTIF(USD!$D:$D,Tabla2[[#This Row],[Avalistas]])</f>
        <v>0</v>
      </c>
      <c r="F36" s="308">
        <f>SUM(Tabla2[[#This Row],[ARS]:[USD]])</f>
        <v>0</v>
      </c>
      <c r="G36" s="305">
        <f>SUMIF(ARS!$D:$D,Tabla2[[#This Row],[Avalistas]],ARS!$F:$F)</f>
        <v>0</v>
      </c>
      <c r="H36" s="305">
        <f>SUMIF(USD!$D:$D,Tabla2[[#This Row],[Avalistas]],USD!$F:$F)</f>
        <v>0</v>
      </c>
      <c r="I36" s="309">
        <f>+Tabla2[[#This Row],[$ARS]]+(Tabla2[[#This Row],[$USD]]*VLOOKUP(WORKDAY.INTL($I$4,-1,1),'Tasas-TC'!A:C,3,FALSE))</f>
        <v>0</v>
      </c>
      <c r="J36" s="296"/>
      <c r="L36" s="422"/>
    </row>
    <row r="37" spans="2:12" ht="15.95" customHeight="1" x14ac:dyDescent="0.25">
      <c r="B37" s="290"/>
      <c r="C37" s="303" t="s">
        <v>303</v>
      </c>
      <c r="D37" s="306">
        <f>COUNTIF(ARS!$D:$D,Tabla2[[#This Row],[Avalistas]])</f>
        <v>4</v>
      </c>
      <c r="E37" s="307">
        <f>COUNTIF(USD!$D:$D,Tabla2[[#This Row],[Avalistas]])</f>
        <v>0</v>
      </c>
      <c r="F37" s="308">
        <f>SUM(Tabla2[[#This Row],[ARS]:[USD]])</f>
        <v>4</v>
      </c>
      <c r="G37" s="305">
        <f>SUMIF(ARS!$D:$D,Tabla2[[#This Row],[Avalistas]],ARS!$F:$F)</f>
        <v>1.6987323760986329E-7</v>
      </c>
      <c r="H37" s="305">
        <f>SUMIF(USD!$D:$D,Tabla2[[#This Row],[Avalistas]],USD!$F:$F)</f>
        <v>0</v>
      </c>
      <c r="I37" s="309">
        <f>+Tabla2[[#This Row],[$ARS]]+(Tabla2[[#This Row],[$USD]]*VLOOKUP(WORKDAY.INTL($I$4,-1,1),'Tasas-TC'!A:C,3,FALSE))</f>
        <v>1.6987323760986329E-7</v>
      </c>
      <c r="J37" s="296"/>
      <c r="L37" s="422"/>
    </row>
    <row r="38" spans="2:12" ht="15.95" customHeight="1" x14ac:dyDescent="0.25">
      <c r="B38" s="290"/>
      <c r="C38" s="303" t="s">
        <v>304</v>
      </c>
      <c r="D38" s="306">
        <f>COUNTIF(ARS!$D:$D,Tabla2[[#This Row],[Avalistas]])</f>
        <v>0</v>
      </c>
      <c r="E38" s="307">
        <f>COUNTIF(USD!$D:$D,Tabla2[[#This Row],[Avalistas]])</f>
        <v>0</v>
      </c>
      <c r="F38" s="308">
        <f>SUM(Tabla2[[#This Row],[ARS]:[USD]])</f>
        <v>0</v>
      </c>
      <c r="G38" s="305">
        <f>SUMIF(ARS!$D:$D,Tabla2[[#This Row],[Avalistas]],ARS!$F:$F)</f>
        <v>0</v>
      </c>
      <c r="H38" s="305">
        <f>SUMIF(USD!$D:$D,Tabla2[[#This Row],[Avalistas]],USD!$F:$F)</f>
        <v>0</v>
      </c>
      <c r="I38" s="309">
        <f>+Tabla2[[#This Row],[$ARS]]+(Tabla2[[#This Row],[$USD]]*VLOOKUP(WORKDAY.INTL($I$4,-1,1),'Tasas-TC'!A:C,3,FALSE))</f>
        <v>0</v>
      </c>
      <c r="J38" s="296"/>
      <c r="L38" s="422"/>
    </row>
    <row r="39" spans="2:12" ht="15.95" customHeight="1" x14ac:dyDescent="0.25">
      <c r="B39" s="290"/>
      <c r="C39" s="303" t="s">
        <v>305</v>
      </c>
      <c r="D39" s="306">
        <f>COUNTIF(ARS!$D:$D,Tabla2[[#This Row],[Avalistas]])</f>
        <v>0</v>
      </c>
      <c r="E39" s="307">
        <f>COUNTIF(USD!$D:$D,Tabla2[[#This Row],[Avalistas]])</f>
        <v>0</v>
      </c>
      <c r="F39" s="308">
        <f>SUM(Tabla2[[#This Row],[ARS]:[USD]])</f>
        <v>0</v>
      </c>
      <c r="G39" s="305">
        <f>SUMIF(ARS!$D:$D,Tabla2[[#This Row],[Avalistas]],ARS!$F:$F)</f>
        <v>0</v>
      </c>
      <c r="H39" s="305">
        <f>SUMIF(USD!$D:$D,Tabla2[[#This Row],[Avalistas]],USD!$F:$F)</f>
        <v>0</v>
      </c>
      <c r="I39" s="309">
        <f>+Tabla2[[#This Row],[$ARS]]+(Tabla2[[#This Row],[$USD]]*VLOOKUP(WORKDAY.INTL($I$4,-1,1),'Tasas-TC'!A:C,3,FALSE))</f>
        <v>0</v>
      </c>
      <c r="J39" s="296"/>
      <c r="L39" s="422"/>
    </row>
    <row r="40" spans="2:12" ht="15.95" customHeight="1" x14ac:dyDescent="0.25">
      <c r="B40" s="290"/>
      <c r="C40" s="525" t="s">
        <v>529</v>
      </c>
      <c r="D40" s="306">
        <f>COUNTIF(ARS!$D:$D,Tabla2[[#This Row],[Avalistas]])</f>
        <v>0</v>
      </c>
      <c r="E40" s="307">
        <f>COUNTIF(USD!$D:$D,Tabla2[[#This Row],[Avalistas]])</f>
        <v>1</v>
      </c>
      <c r="F40" s="308">
        <f>SUM(Tabla2[[#This Row],[ARS]:[USD]])</f>
        <v>1</v>
      </c>
      <c r="G40" s="305">
        <f>SUMIF(ARS!$D:$D,Tabla2[[#This Row],[Avalistas]],ARS!$F:$F)</f>
        <v>0</v>
      </c>
      <c r="H40" s="305">
        <f>SUMIF(USD!$D:$D,Tabla2[[#This Row],[Avalistas]],USD!$F:$F)</f>
        <v>22976.5</v>
      </c>
      <c r="I40" s="309">
        <f>+Tabla2[[#This Row],[$ARS]]+(Tabla2[[#This Row],[$USD]]*VLOOKUP(WORKDAY.INTL($I$4,-1,1),'Tasas-TC'!A:C,3,FALSE))</f>
        <v>26564740.005000003</v>
      </c>
      <c r="J40" s="296"/>
      <c r="L40" s="422"/>
    </row>
    <row r="41" spans="2:12" ht="15.95" customHeight="1" x14ac:dyDescent="0.25">
      <c r="B41" s="290"/>
      <c r="C41" s="303" t="s">
        <v>306</v>
      </c>
      <c r="D41" s="306">
        <f>COUNTIF(ARS!$D:$D,Tabla2[[#This Row],[Avalistas]])</f>
        <v>0</v>
      </c>
      <c r="E41" s="307">
        <f>COUNTIF(USD!$D:$D,Tabla2[[#This Row],[Avalistas]])</f>
        <v>0</v>
      </c>
      <c r="F41" s="308">
        <f>SUM(Tabla2[[#This Row],[ARS]:[USD]])</f>
        <v>0</v>
      </c>
      <c r="G41" s="305">
        <f>SUMIF(ARS!$D:$D,Tabla2[[#This Row],[Avalistas]],ARS!$F:$F)</f>
        <v>0</v>
      </c>
      <c r="H41" s="305">
        <f>SUMIF(USD!$D:$D,Tabla2[[#This Row],[Avalistas]],USD!$F:$F)</f>
        <v>0</v>
      </c>
      <c r="I41" s="309">
        <f>+Tabla2[[#This Row],[$ARS]]+(Tabla2[[#This Row],[$USD]]*VLOOKUP(WORKDAY.INTL($I$4,-1,1),'Tasas-TC'!A:C,3,FALSE))</f>
        <v>0</v>
      </c>
      <c r="J41" s="296"/>
      <c r="L41" s="422"/>
    </row>
    <row r="42" spans="2:12" ht="15.95" customHeight="1" x14ac:dyDescent="0.25">
      <c r="B42" s="290"/>
      <c r="C42" s="303" t="s">
        <v>307</v>
      </c>
      <c r="D42" s="306">
        <f>COUNTIF(ARS!$D:$D,Tabla2[[#This Row],[Avalistas]])</f>
        <v>0</v>
      </c>
      <c r="E42" s="307">
        <f>COUNTIF(USD!$D:$D,Tabla2[[#This Row],[Avalistas]])</f>
        <v>0</v>
      </c>
      <c r="F42" s="308">
        <f>SUM(Tabla2[[#This Row],[ARS]:[USD]])</f>
        <v>0</v>
      </c>
      <c r="G42" s="305">
        <f>SUMIF(ARS!$D:$D,Tabla2[[#This Row],[Avalistas]],ARS!$F:$F)</f>
        <v>0</v>
      </c>
      <c r="H42" s="305">
        <f>SUMIF(USD!$D:$D,Tabla2[[#This Row],[Avalistas]],USD!$F:$F)</f>
        <v>0</v>
      </c>
      <c r="I42" s="309">
        <f>+Tabla2[[#This Row],[$ARS]]+(Tabla2[[#This Row],[$USD]]*VLOOKUP(WORKDAY.INTL($I$4,-1,1),'Tasas-TC'!A:C,3,FALSE))</f>
        <v>0</v>
      </c>
      <c r="J42" s="296"/>
      <c r="L42" s="422"/>
    </row>
    <row r="43" spans="2:12" ht="15.95" customHeight="1" x14ac:dyDescent="0.25">
      <c r="B43" s="290"/>
      <c r="C43" s="303" t="s">
        <v>308</v>
      </c>
      <c r="D43" s="306">
        <f>COUNTIF(ARS!$D:$D,Tabla2[[#This Row],[Avalistas]])</f>
        <v>9</v>
      </c>
      <c r="E43" s="307">
        <f>COUNTIF(USD!$D:$D,Tabla2[[#This Row],[Avalistas]])</f>
        <v>5</v>
      </c>
      <c r="F43" s="308">
        <f>SUM(Tabla2[[#This Row],[ARS]:[USD]])</f>
        <v>14</v>
      </c>
      <c r="G43" s="305">
        <f>SUMIF(ARS!$D:$D,Tabla2[[#This Row],[Avalistas]],ARS!$F:$F)</f>
        <v>0</v>
      </c>
      <c r="H43" s="305">
        <f>SUMIF(USD!$D:$D,Tabla2[[#This Row],[Avalistas]],USD!$F:$F)</f>
        <v>0</v>
      </c>
      <c r="I43" s="309">
        <f>+Tabla2[[#This Row],[$ARS]]+(Tabla2[[#This Row],[$USD]]*VLOOKUP(WORKDAY.INTL($I$4,-1,1),'Tasas-TC'!A:C,3,FALSE))</f>
        <v>0</v>
      </c>
      <c r="J43" s="296"/>
      <c r="L43" s="422"/>
    </row>
    <row r="44" spans="2:12" ht="15.95" customHeight="1" x14ac:dyDescent="0.25">
      <c r="B44" s="290"/>
      <c r="C44" s="303" t="s">
        <v>309</v>
      </c>
      <c r="D44" s="306">
        <f>COUNTIF(ARS!$D:$D,Tabla2[[#This Row],[Avalistas]])</f>
        <v>34</v>
      </c>
      <c r="E44" s="307">
        <f>COUNTIF(USD!$D:$D,Tabla2[[#This Row],[Avalistas]])</f>
        <v>23</v>
      </c>
      <c r="F44" s="308">
        <f>SUM(Tabla2[[#This Row],[ARS]:[USD]])</f>
        <v>57</v>
      </c>
      <c r="G44" s="305">
        <f ca="1">SUMIF(ARS!$D:$D,Tabla2[[#This Row],[Avalistas]],ARS!$F:$F)</f>
        <v>5.1179558038711554E-6</v>
      </c>
      <c r="H44" s="305">
        <f>SUMIF(USD!$D:$D,Tabla2[[#This Row],[Avalistas]],USD!$F:$F)</f>
        <v>98568.489999999991</v>
      </c>
      <c r="I44" s="309">
        <f ca="1">+Tabla2[[#This Row],[$ARS]]+(Tabla2[[#This Row],[$USD]]*VLOOKUP(WORKDAY.INTL($I$4,-1,1),'Tasas-TC'!A:C,3,FALSE))</f>
        <v>113961931.08330511</v>
      </c>
      <c r="J44" s="296"/>
      <c r="L44" s="422"/>
    </row>
    <row r="45" spans="2:12" ht="15.95" customHeight="1" x14ac:dyDescent="0.25">
      <c r="B45" s="290"/>
      <c r="C45" s="303" t="s">
        <v>310</v>
      </c>
      <c r="D45" s="306">
        <f>COUNTIF(ARS!$D:$D,Tabla2[[#This Row],[Avalistas]])</f>
        <v>1</v>
      </c>
      <c r="E45" s="307">
        <f>COUNTIF(USD!$D:$D,Tabla2[[#This Row],[Avalistas]])</f>
        <v>0</v>
      </c>
      <c r="F45" s="308">
        <f>SUM(Tabla2[[#This Row],[ARS]:[USD]])</f>
        <v>1</v>
      </c>
      <c r="G45" s="305">
        <f>SUMIF(ARS!$D:$D,Tabla2[[#This Row],[Avalistas]],ARS!$F:$F)</f>
        <v>0</v>
      </c>
      <c r="H45" s="305">
        <f>SUMIF(USD!$D:$D,Tabla2[[#This Row],[Avalistas]],USD!$F:$F)</f>
        <v>0</v>
      </c>
      <c r="I45" s="309">
        <f>+Tabla2[[#This Row],[$ARS]]+(Tabla2[[#This Row],[$USD]]*VLOOKUP(WORKDAY.INTL($I$4,-1,1),'Tasas-TC'!A:C,3,FALSE))</f>
        <v>0</v>
      </c>
      <c r="J45" s="296"/>
      <c r="L45" s="422"/>
    </row>
    <row r="46" spans="2:12" ht="15.95" customHeight="1" x14ac:dyDescent="0.25">
      <c r="B46" s="290"/>
      <c r="C46" s="303" t="s">
        <v>311</v>
      </c>
      <c r="D46" s="306">
        <f>COUNTIF(ARS!$D:$D,Tabla2[[#This Row],[Avalistas]])</f>
        <v>2</v>
      </c>
      <c r="E46" s="307">
        <f>COUNTIF(USD!$D:$D,Tabla2[[#This Row],[Avalistas]])</f>
        <v>0</v>
      </c>
      <c r="F46" s="308">
        <f>SUM(Tabla2[[#This Row],[ARS]:[USD]])</f>
        <v>2</v>
      </c>
      <c r="G46" s="305">
        <f>SUMIF(ARS!$D:$D,Tabla2[[#This Row],[Avalistas]],ARS!$F:$F)</f>
        <v>0</v>
      </c>
      <c r="H46" s="305">
        <f>SUMIF(USD!$D:$D,Tabla2[[#This Row],[Avalistas]],USD!$F:$F)</f>
        <v>0</v>
      </c>
      <c r="I46" s="309">
        <f>+Tabla2[[#This Row],[$ARS]]+(Tabla2[[#This Row],[$USD]]*VLOOKUP(WORKDAY.INTL($I$4,-1,1),'Tasas-TC'!A:C,3,FALSE))</f>
        <v>0</v>
      </c>
      <c r="J46" s="296"/>
      <c r="L46" s="422"/>
    </row>
    <row r="47" spans="2:12" ht="15.95" customHeight="1" x14ac:dyDescent="0.25">
      <c r="B47" s="290"/>
      <c r="C47" s="303" t="s">
        <v>312</v>
      </c>
      <c r="D47" s="306">
        <f>COUNTIF(ARS!$D:$D,Tabla2[[#This Row],[Avalistas]])</f>
        <v>0</v>
      </c>
      <c r="E47" s="307">
        <f>COUNTIF(USD!$D:$D,Tabla2[[#This Row],[Avalistas]])</f>
        <v>0</v>
      </c>
      <c r="F47" s="308">
        <f>SUM(Tabla2[[#This Row],[ARS]:[USD]])</f>
        <v>0</v>
      </c>
      <c r="G47" s="305">
        <f>SUMIF(ARS!$D:$D,Tabla2[[#This Row],[Avalistas]],ARS!$F:$F)</f>
        <v>0</v>
      </c>
      <c r="H47" s="305">
        <f>SUMIF(USD!$D:$D,Tabla2[[#This Row],[Avalistas]],USD!$F:$F)</f>
        <v>0</v>
      </c>
      <c r="I47" s="309">
        <f>+Tabla2[[#This Row],[$ARS]]+(Tabla2[[#This Row],[$USD]]*VLOOKUP(WORKDAY.INTL($I$4,-1,1),'Tasas-TC'!A:C,3,FALSE))</f>
        <v>0</v>
      </c>
      <c r="J47" s="296"/>
      <c r="L47" s="422"/>
    </row>
    <row r="48" spans="2:12" ht="15.95" customHeight="1" x14ac:dyDescent="0.25">
      <c r="B48" s="290"/>
      <c r="C48" s="303" t="s">
        <v>313</v>
      </c>
      <c r="D48" s="306">
        <f>COUNTIF(ARS!$D:$D,Tabla2[[#This Row],[Avalistas]])</f>
        <v>8</v>
      </c>
      <c r="E48" s="307">
        <f>COUNTIF(USD!$D:$D,Tabla2[[#This Row],[Avalistas]])</f>
        <v>0</v>
      </c>
      <c r="F48" s="308">
        <f>SUM(Tabla2[[#This Row],[ARS]:[USD]])</f>
        <v>8</v>
      </c>
      <c r="G48" s="305">
        <f>SUMIF(ARS!$D:$D,Tabla2[[#This Row],[Avalistas]],ARS!$F:$F)</f>
        <v>0</v>
      </c>
      <c r="H48" s="305">
        <f>SUMIF(USD!$D:$D,Tabla2[[#This Row],[Avalistas]],USD!$F:$F)</f>
        <v>0</v>
      </c>
      <c r="I48" s="309">
        <f>+Tabla2[[#This Row],[$ARS]]+(Tabla2[[#This Row],[$USD]]*VLOOKUP(WORKDAY.INTL($I$4,-1,1),'Tasas-TC'!A:C,3,FALSE))</f>
        <v>0</v>
      </c>
      <c r="J48" s="296"/>
      <c r="L48" s="422"/>
    </row>
    <row r="49" spans="2:12" ht="15.95" customHeight="1" x14ac:dyDescent="0.25">
      <c r="B49" s="290"/>
      <c r="C49" s="303" t="s">
        <v>314</v>
      </c>
      <c r="D49" s="306">
        <f>COUNTIF(ARS!$D:$D,Tabla2[[#This Row],[Avalistas]])</f>
        <v>0</v>
      </c>
      <c r="E49" s="307">
        <f>COUNTIF(USD!$D:$D,Tabla2[[#This Row],[Avalistas]])</f>
        <v>0</v>
      </c>
      <c r="F49" s="308">
        <f>SUM(Tabla2[[#This Row],[ARS]:[USD]])</f>
        <v>0</v>
      </c>
      <c r="G49" s="305">
        <f>SUMIF(ARS!$D:$D,Tabla2[[#This Row],[Avalistas]],ARS!$F:$F)</f>
        <v>0</v>
      </c>
      <c r="H49" s="305">
        <f>SUMIF(USD!$D:$D,Tabla2[[#This Row],[Avalistas]],USD!$F:$F)</f>
        <v>0</v>
      </c>
      <c r="I49" s="309">
        <f>+Tabla2[[#This Row],[$ARS]]+(Tabla2[[#This Row],[$USD]]*VLOOKUP(WORKDAY.INTL($I$4,-1,1),'Tasas-TC'!A:C,3,FALSE))</f>
        <v>0</v>
      </c>
      <c r="J49" s="296"/>
      <c r="L49" s="422"/>
    </row>
    <row r="50" spans="2:12" ht="15.95" customHeight="1" x14ac:dyDescent="0.25">
      <c r="B50" s="290"/>
      <c r="C50" s="303" t="s">
        <v>315</v>
      </c>
      <c r="D50" s="306">
        <f>COUNTIF(ARS!$D:$D,Tabla2[[#This Row],[Avalistas]])</f>
        <v>0</v>
      </c>
      <c r="E50" s="307">
        <f>COUNTIF(USD!$D:$D,Tabla2[[#This Row],[Avalistas]])</f>
        <v>0</v>
      </c>
      <c r="F50" s="308">
        <f>SUM(Tabla2[[#This Row],[ARS]:[USD]])</f>
        <v>0</v>
      </c>
      <c r="G50" s="305">
        <f>SUMIF(ARS!$D:$D,Tabla2[[#This Row],[Avalistas]],ARS!$F:$F)</f>
        <v>0</v>
      </c>
      <c r="H50" s="305">
        <f>SUMIF(USD!$D:$D,Tabla2[[#This Row],[Avalistas]],USD!$F:$F)</f>
        <v>0</v>
      </c>
      <c r="I50" s="309">
        <f>+Tabla2[[#This Row],[$ARS]]+(Tabla2[[#This Row],[$USD]]*VLOOKUP(WORKDAY.INTL($I$4,-1,1),'Tasas-TC'!A:C,3,FALSE))</f>
        <v>0</v>
      </c>
      <c r="J50" s="296"/>
      <c r="L50" s="422"/>
    </row>
    <row r="51" spans="2:12" ht="15.95" customHeight="1" x14ac:dyDescent="0.25">
      <c r="B51" s="290"/>
      <c r="C51" s="303" t="s">
        <v>316</v>
      </c>
      <c r="D51" s="306">
        <f>COUNTIF(ARS!$D:$D,Tabla2[[#This Row],[Avalistas]])</f>
        <v>1</v>
      </c>
      <c r="E51" s="307">
        <f>COUNTIF(USD!$D:$D,Tabla2[[#This Row],[Avalistas]])</f>
        <v>0</v>
      </c>
      <c r="F51" s="308">
        <f>SUM(Tabla2[[#This Row],[ARS]:[USD]])</f>
        <v>1</v>
      </c>
      <c r="G51" s="305">
        <f>SUMIF(ARS!$D:$D,Tabla2[[#This Row],[Avalistas]],ARS!$F:$F)</f>
        <v>0</v>
      </c>
      <c r="H51" s="305">
        <f>SUMIF(USD!$D:$D,Tabla2[[#This Row],[Avalistas]],USD!$F:$F)</f>
        <v>0</v>
      </c>
      <c r="I51" s="309">
        <f>+Tabla2[[#This Row],[$ARS]]+(Tabla2[[#This Row],[$USD]]*VLOOKUP(WORKDAY.INTL($I$4,-1,1),'Tasas-TC'!A:C,3,FALSE))</f>
        <v>0</v>
      </c>
      <c r="J51" s="296"/>
      <c r="L51" s="422"/>
    </row>
    <row r="52" spans="2:12" ht="15.95" customHeight="1" x14ac:dyDescent="0.25">
      <c r="B52" s="290"/>
      <c r="C52" s="303" t="s">
        <v>317</v>
      </c>
      <c r="D52" s="306">
        <f>COUNTIF(ARS!$D:$D,Tabla2[[#This Row],[Avalistas]])</f>
        <v>0</v>
      </c>
      <c r="E52" s="307">
        <f>COUNTIF(USD!$D:$D,Tabla2[[#This Row],[Avalistas]])</f>
        <v>0</v>
      </c>
      <c r="F52" s="308">
        <f>SUM(Tabla2[[#This Row],[ARS]:[USD]])</f>
        <v>0</v>
      </c>
      <c r="G52" s="305">
        <f>SUMIF(ARS!$D:$D,Tabla2[[#This Row],[Avalistas]],ARS!$F:$F)</f>
        <v>0</v>
      </c>
      <c r="H52" s="305">
        <f>SUMIF(USD!$D:$D,Tabla2[[#This Row],[Avalistas]],USD!$F:$F)</f>
        <v>0</v>
      </c>
      <c r="I52" s="309">
        <f>+Tabla2[[#This Row],[$ARS]]+(Tabla2[[#This Row],[$USD]]*VLOOKUP(WORKDAY.INTL($I$4,-1,1),'Tasas-TC'!A:C,3,FALSE))</f>
        <v>0</v>
      </c>
      <c r="J52" s="296"/>
      <c r="L52" s="422"/>
    </row>
    <row r="53" spans="2:12" ht="15.95" customHeight="1" x14ac:dyDescent="0.25">
      <c r="B53" s="290"/>
      <c r="C53" s="303" t="s">
        <v>318</v>
      </c>
      <c r="D53" s="306">
        <f>COUNTIF(ARS!$D:$D,Tabla2[[#This Row],[Avalistas]])</f>
        <v>2</v>
      </c>
      <c r="E53" s="307">
        <f>COUNTIF(USD!$D:$D,Tabla2[[#This Row],[Avalistas]])</f>
        <v>1</v>
      </c>
      <c r="F53" s="308">
        <f>SUM(Tabla2[[#This Row],[ARS]:[USD]])</f>
        <v>3</v>
      </c>
      <c r="G53" s="305">
        <f>SUMIF(ARS!$D:$D,Tabla2[[#This Row],[Avalistas]],ARS!$F:$F)</f>
        <v>0</v>
      </c>
      <c r="H53" s="305">
        <f>SUMIF(USD!$D:$D,Tabla2[[#This Row],[Avalistas]],USD!$F:$F)</f>
        <v>0</v>
      </c>
      <c r="I53" s="309">
        <f>+Tabla2[[#This Row],[$ARS]]+(Tabla2[[#This Row],[$USD]]*VLOOKUP(WORKDAY.INTL($I$4,-1,1),'Tasas-TC'!A:C,3,FALSE))</f>
        <v>0</v>
      </c>
      <c r="J53" s="296"/>
      <c r="L53" s="422"/>
    </row>
    <row r="54" spans="2:12" ht="15.95" customHeight="1" x14ac:dyDescent="0.25">
      <c r="B54" s="290"/>
      <c r="C54" s="303" t="s">
        <v>446</v>
      </c>
      <c r="D54" s="306">
        <f>COUNTIF(ARS!$D:$D,Tabla2[[#This Row],[Avalistas]])</f>
        <v>0</v>
      </c>
      <c r="E54" s="307">
        <f>COUNTIF(USD!$D:$D,Tabla2[[#This Row],[Avalistas]])</f>
        <v>0</v>
      </c>
      <c r="F54" s="308">
        <f>SUM(Tabla2[[#This Row],[ARS]:[USD]])</f>
        <v>0</v>
      </c>
      <c r="G54" s="305">
        <f>SUMIF(ARS!$D:$D,Tabla2[[#This Row],[Avalistas]],ARS!$F:$F)</f>
        <v>0</v>
      </c>
      <c r="H54" s="305">
        <f>SUMIF(USD!$D:$D,Tabla2[[#This Row],[Avalistas]],USD!$F:$F)</f>
        <v>0</v>
      </c>
      <c r="I54" s="309">
        <f>+Tabla2[[#This Row],[$ARS]]+(Tabla2[[#This Row],[$USD]]*VLOOKUP(WORKDAY.INTL($I$4,-1,1),'Tasas-TC'!A:C,3,FALSE))</f>
        <v>0</v>
      </c>
      <c r="J54" s="296"/>
      <c r="L54" s="422"/>
    </row>
    <row r="55" spans="2:12" ht="15.95" customHeight="1" x14ac:dyDescent="0.25">
      <c r="B55" s="290"/>
      <c r="C55" s="303" t="s">
        <v>319</v>
      </c>
      <c r="D55" s="306">
        <f>COUNTIF(ARS!$D:$D,Tabla2[[#This Row],[Avalistas]])</f>
        <v>8</v>
      </c>
      <c r="E55" s="307">
        <f>COUNTIF(USD!$D:$D,Tabla2[[#This Row],[Avalistas]])</f>
        <v>0</v>
      </c>
      <c r="F55" s="308">
        <f>SUM(Tabla2[[#This Row],[ARS]:[USD]])</f>
        <v>8</v>
      </c>
      <c r="G55" s="305">
        <f>SUMIF(ARS!$D:$D,Tabla2[[#This Row],[Avalistas]],ARS!$F:$F)</f>
        <v>0</v>
      </c>
      <c r="H55" s="305">
        <f>SUMIF(USD!$D:$D,Tabla2[[#This Row],[Avalistas]],USD!$F:$F)</f>
        <v>0</v>
      </c>
      <c r="I55" s="309">
        <f>+Tabla2[[#This Row],[$ARS]]+(Tabla2[[#This Row],[$USD]]*VLOOKUP(WORKDAY.INTL($I$4,-1,1),'Tasas-TC'!A:C,3,FALSE))</f>
        <v>0</v>
      </c>
      <c r="J55" s="296"/>
      <c r="L55" s="422"/>
    </row>
    <row r="56" spans="2:12" ht="15.95" customHeight="1" x14ac:dyDescent="0.25">
      <c r="B56" s="290"/>
      <c r="C56" s="303" t="s">
        <v>320</v>
      </c>
      <c r="D56" s="306">
        <f>COUNTIF(ARS!$D:$D,Tabla2[[#This Row],[Avalistas]])</f>
        <v>0</v>
      </c>
      <c r="E56" s="307">
        <f>COUNTIF(USD!$D:$D,Tabla2[[#This Row],[Avalistas]])</f>
        <v>0</v>
      </c>
      <c r="F56" s="308">
        <f>SUM(Tabla2[[#This Row],[ARS]:[USD]])</f>
        <v>0</v>
      </c>
      <c r="G56" s="305">
        <f>SUMIF(ARS!$D:$D,Tabla2[[#This Row],[Avalistas]],ARS!$F:$F)</f>
        <v>0</v>
      </c>
      <c r="H56" s="305">
        <f>SUMIF(USD!$D:$D,Tabla2[[#This Row],[Avalistas]],USD!$F:$F)</f>
        <v>0</v>
      </c>
      <c r="I56" s="309">
        <f>+Tabla2[[#This Row],[$ARS]]+(Tabla2[[#This Row],[$USD]]*VLOOKUP(WORKDAY.INTL($I$4,-1,1),'Tasas-TC'!A:C,3,FALSE))</f>
        <v>0</v>
      </c>
      <c r="J56" s="296"/>
      <c r="L56" s="422"/>
    </row>
    <row r="57" spans="2:12" ht="15.95" customHeight="1" x14ac:dyDescent="0.25">
      <c r="B57" s="290"/>
      <c r="C57" s="303" t="s">
        <v>321</v>
      </c>
      <c r="D57" s="306">
        <f>COUNTIF(ARS!$D:$D,Tabla2[[#This Row],[Avalistas]])</f>
        <v>0</v>
      </c>
      <c r="E57" s="307">
        <f>COUNTIF(USD!$D:$D,Tabla2[[#This Row],[Avalistas]])</f>
        <v>0</v>
      </c>
      <c r="F57" s="308">
        <f>SUM(Tabla2[[#This Row],[ARS]:[USD]])</f>
        <v>0</v>
      </c>
      <c r="G57" s="305">
        <f>SUMIF(ARS!$D:$D,Tabla2[[#This Row],[Avalistas]],ARS!$F:$F)</f>
        <v>0</v>
      </c>
      <c r="H57" s="305">
        <f>SUMIF(USD!$D:$D,Tabla2[[#This Row],[Avalistas]],USD!$F:$F)</f>
        <v>0</v>
      </c>
      <c r="I57" s="309">
        <f>+Tabla2[[#This Row],[$ARS]]+(Tabla2[[#This Row],[$USD]]*VLOOKUP(WORKDAY.INTL($I$4,-1,1),'Tasas-TC'!A:C,3,FALSE))</f>
        <v>0</v>
      </c>
      <c r="J57" s="296"/>
      <c r="L57" s="422"/>
    </row>
    <row r="58" spans="2:12" ht="15.95" customHeight="1" x14ac:dyDescent="0.25">
      <c r="B58" s="290"/>
      <c r="C58" s="303" t="s">
        <v>322</v>
      </c>
      <c r="D58" s="306">
        <f>COUNTIF(ARS!$D:$D,Tabla2[[#This Row],[Avalistas]])</f>
        <v>0</v>
      </c>
      <c r="E58" s="307">
        <f>COUNTIF(USD!$D:$D,Tabla2[[#This Row],[Avalistas]])</f>
        <v>0</v>
      </c>
      <c r="F58" s="308">
        <f>SUM(Tabla2[[#This Row],[ARS]:[USD]])</f>
        <v>0</v>
      </c>
      <c r="G58" s="305">
        <f>SUMIF(ARS!$D:$D,Tabla2[[#This Row],[Avalistas]],ARS!$F:$F)</f>
        <v>0</v>
      </c>
      <c r="H58" s="305">
        <f>SUMIF(USD!$D:$D,Tabla2[[#This Row],[Avalistas]],USD!$F:$F)</f>
        <v>0</v>
      </c>
      <c r="I58" s="309">
        <f>+Tabla2[[#This Row],[$ARS]]+(Tabla2[[#This Row],[$USD]]*VLOOKUP(WORKDAY.INTL($I$4,-1,1),'Tasas-TC'!A:C,3,FALSE))</f>
        <v>0</v>
      </c>
      <c r="J58" s="296"/>
      <c r="L58" s="422"/>
    </row>
    <row r="59" spans="2:12" ht="15.95" customHeight="1" x14ac:dyDescent="0.25">
      <c r="B59" s="290"/>
      <c r="C59" s="303" t="s">
        <v>323</v>
      </c>
      <c r="D59" s="306">
        <f>COUNTIF(ARS!$D:$D,Tabla2[[#This Row],[Avalistas]])</f>
        <v>0</v>
      </c>
      <c r="E59" s="307">
        <f>COUNTIF(USD!$D:$D,Tabla2[[#This Row],[Avalistas]])</f>
        <v>0</v>
      </c>
      <c r="F59" s="308">
        <f>SUM(Tabla2[[#This Row],[ARS]:[USD]])</f>
        <v>0</v>
      </c>
      <c r="G59" s="305">
        <f>SUMIF(ARS!$D:$D,Tabla2[[#This Row],[Avalistas]],ARS!$F:$F)</f>
        <v>0</v>
      </c>
      <c r="H59" s="305">
        <f>SUMIF(USD!$D:$D,Tabla2[[#This Row],[Avalistas]],USD!$F:$F)</f>
        <v>0</v>
      </c>
      <c r="I59" s="309">
        <f>+Tabla2[[#This Row],[$ARS]]+(Tabla2[[#This Row],[$USD]]*VLOOKUP(WORKDAY.INTL($I$4,-1,1),'Tasas-TC'!A:C,3,FALSE))</f>
        <v>0</v>
      </c>
      <c r="J59" s="296"/>
      <c r="L59" s="422"/>
    </row>
    <row r="60" spans="2:12" ht="15.95" customHeight="1" x14ac:dyDescent="0.25">
      <c r="B60" s="290"/>
      <c r="C60" s="303" t="s">
        <v>324</v>
      </c>
      <c r="D60" s="306">
        <f>COUNTIF(ARS!$D:$D,Tabla2[[#This Row],[Avalistas]])</f>
        <v>0</v>
      </c>
      <c r="E60" s="307">
        <f>COUNTIF(USD!$D:$D,Tabla2[[#This Row],[Avalistas]])</f>
        <v>0</v>
      </c>
      <c r="F60" s="308">
        <f>SUM(Tabla2[[#This Row],[ARS]:[USD]])</f>
        <v>0</v>
      </c>
      <c r="G60" s="305">
        <f>SUMIF(ARS!$D:$D,Tabla2[[#This Row],[Avalistas]],ARS!$F:$F)</f>
        <v>0</v>
      </c>
      <c r="H60" s="305">
        <f>SUMIF(USD!$D:$D,Tabla2[[#This Row],[Avalistas]],USD!$F:$F)</f>
        <v>0</v>
      </c>
      <c r="I60" s="309">
        <f>+Tabla2[[#This Row],[$ARS]]+(Tabla2[[#This Row],[$USD]]*VLOOKUP(WORKDAY.INTL($I$4,-1,1),'Tasas-TC'!A:C,3,FALSE))</f>
        <v>0</v>
      </c>
      <c r="J60" s="296"/>
      <c r="L60" s="422"/>
    </row>
    <row r="61" spans="2:12" ht="15.95" customHeight="1" x14ac:dyDescent="0.25">
      <c r="B61" s="290"/>
      <c r="C61" s="303"/>
      <c r="D61" s="306"/>
      <c r="E61" s="307"/>
      <c r="F61" s="434"/>
      <c r="G61" s="305"/>
      <c r="H61" s="305"/>
      <c r="I61" s="436"/>
      <c r="J61" s="296"/>
      <c r="L61" s="422"/>
    </row>
    <row r="62" spans="2:12" ht="9.9499999999999993" customHeight="1" x14ac:dyDescent="0.25">
      <c r="B62" s="290"/>
      <c r="C62" s="303"/>
      <c r="D62" s="306"/>
      <c r="E62" s="307"/>
      <c r="F62" s="310"/>
      <c r="G62" s="305"/>
      <c r="H62" s="305"/>
      <c r="I62" s="311"/>
      <c r="J62" s="296"/>
    </row>
    <row r="63" spans="2:12" ht="20.100000000000001" customHeight="1" thickBot="1" x14ac:dyDescent="0.3">
      <c r="B63" s="290"/>
      <c r="C63" s="526" t="s">
        <v>268</v>
      </c>
      <c r="D63" s="418">
        <f>SUBTOTAL(109,Tabla2[ARS])</f>
        <v>96</v>
      </c>
      <c r="E63" s="419">
        <f>SUBTOTAL(109,Tabla2[USD])</f>
        <v>57</v>
      </c>
      <c r="F63" s="527">
        <f>SUBTOTAL(109,Tabla2[Cantidad Total])</f>
        <v>153</v>
      </c>
      <c r="G63" s="420">
        <f ca="1">SUBTOTAL(109,Tabla2[$ARS])</f>
        <v>200000000.18928757</v>
      </c>
      <c r="H63" s="420">
        <f>SUBTOTAL(109,Tabla2[$USD])</f>
        <v>454878.32333333325</v>
      </c>
      <c r="I63" s="528">
        <f ca="1">SUBTOTAL(109,Tabla2[Monto Total ARS])</f>
        <v>725916671.27758741</v>
      </c>
      <c r="J63" s="296"/>
      <c r="L63" s="477"/>
    </row>
    <row r="64" spans="2:12" ht="15.95" customHeight="1" thickTop="1" x14ac:dyDescent="0.25">
      <c r="B64" s="290"/>
      <c r="C64" s="300"/>
      <c r="D64" s="301"/>
      <c r="E64" s="301"/>
      <c r="F64" s="301"/>
      <c r="G64" s="301"/>
      <c r="H64" s="301"/>
      <c r="I64" s="302"/>
      <c r="J64" s="296"/>
    </row>
    <row r="65" spans="1:11" ht="15.95" customHeight="1" x14ac:dyDescent="0.25">
      <c r="B65" s="290"/>
      <c r="C65" s="295"/>
      <c r="D65" s="295"/>
      <c r="E65" s="295"/>
      <c r="F65" s="295"/>
      <c r="G65" s="295"/>
      <c r="H65" s="295"/>
      <c r="I65" s="295"/>
      <c r="J65" s="296"/>
    </row>
    <row r="66" spans="1:11" ht="20.100000000000001" customHeight="1" x14ac:dyDescent="0.25">
      <c r="B66" s="626" t="s">
        <v>342</v>
      </c>
      <c r="C66" s="627"/>
      <c r="D66" s="627"/>
      <c r="E66" s="627"/>
      <c r="F66" s="627"/>
      <c r="G66" s="627"/>
      <c r="H66" s="627"/>
      <c r="I66" s="627"/>
      <c r="J66" s="628"/>
    </row>
    <row r="67" spans="1:11" x14ac:dyDescent="0.25">
      <c r="A67" s="295"/>
      <c r="B67" s="290"/>
      <c r="C67" s="295"/>
      <c r="D67" s="295"/>
      <c r="E67" s="295"/>
      <c r="F67" s="295"/>
      <c r="G67" s="295"/>
      <c r="H67" s="295"/>
      <c r="I67" s="295"/>
      <c r="J67" s="296"/>
      <c r="K67" s="295"/>
    </row>
    <row r="68" spans="1:11" ht="9.9499999999999993" customHeight="1" x14ac:dyDescent="0.25">
      <c r="A68" s="295"/>
      <c r="B68" s="287"/>
      <c r="C68" s="288"/>
      <c r="D68" s="288"/>
      <c r="E68" s="289"/>
      <c r="F68" s="287"/>
      <c r="G68" s="288"/>
      <c r="H68" s="288"/>
      <c r="I68" s="288"/>
      <c r="J68" s="289"/>
      <c r="K68" s="295"/>
    </row>
    <row r="69" spans="1:11" ht="15.95" customHeight="1" x14ac:dyDescent="0.25">
      <c r="A69" s="295"/>
      <c r="B69" s="629" t="s">
        <v>337</v>
      </c>
      <c r="C69" s="630"/>
      <c r="D69" s="630"/>
      <c r="E69" s="630"/>
      <c r="F69" s="630" t="s">
        <v>338</v>
      </c>
      <c r="G69" s="630"/>
      <c r="H69" s="630"/>
      <c r="I69" s="630"/>
      <c r="J69" s="631"/>
      <c r="K69" s="295"/>
    </row>
    <row r="70" spans="1:11" ht="15.95" customHeight="1" x14ac:dyDescent="0.25">
      <c r="A70" s="295"/>
      <c r="B70" s="290"/>
      <c r="C70" s="295"/>
      <c r="D70" s="295"/>
      <c r="E70" s="296"/>
      <c r="F70" s="290"/>
      <c r="G70" s="295"/>
      <c r="H70" s="295"/>
      <c r="I70" s="295"/>
      <c r="J70" s="296"/>
      <c r="K70" s="295"/>
    </row>
    <row r="71" spans="1:11" ht="15.95" customHeight="1" x14ac:dyDescent="0.25">
      <c r="A71" s="295"/>
      <c r="B71" s="290"/>
      <c r="C71" s="295"/>
      <c r="D71" s="295"/>
      <c r="E71" s="296"/>
      <c r="F71" s="290"/>
      <c r="G71" s="295"/>
      <c r="H71" s="295"/>
      <c r="I71" s="295"/>
      <c r="J71" s="296"/>
      <c r="K71" s="295"/>
    </row>
    <row r="72" spans="1:11" ht="15.95" customHeight="1" x14ac:dyDescent="0.25">
      <c r="A72" s="295"/>
      <c r="B72" s="290"/>
      <c r="C72" s="295"/>
      <c r="D72" s="295"/>
      <c r="E72" s="296"/>
      <c r="F72" s="290"/>
      <c r="G72" s="295"/>
      <c r="H72" s="295"/>
      <c r="I72" s="295"/>
      <c r="J72" s="296"/>
      <c r="K72" s="295"/>
    </row>
    <row r="73" spans="1:11" ht="15.95" customHeight="1" x14ac:dyDescent="0.25">
      <c r="A73" s="295"/>
      <c r="B73" s="290"/>
      <c r="C73" s="295"/>
      <c r="D73" s="295"/>
      <c r="E73" s="296"/>
      <c r="F73" s="290"/>
      <c r="G73" s="295"/>
      <c r="H73" s="295"/>
      <c r="I73" s="295"/>
      <c r="J73" s="296"/>
      <c r="K73" s="295"/>
    </row>
    <row r="74" spans="1:11" ht="15.95" customHeight="1" x14ac:dyDescent="0.25">
      <c r="A74" s="295"/>
      <c r="B74" s="290"/>
      <c r="C74" s="295"/>
      <c r="D74" s="295"/>
      <c r="E74" s="296"/>
      <c r="F74" s="290"/>
      <c r="G74" s="295"/>
      <c r="H74" s="295"/>
      <c r="I74" s="295"/>
      <c r="J74" s="296"/>
      <c r="K74" s="295"/>
    </row>
    <row r="75" spans="1:11" ht="15.95" customHeight="1" x14ac:dyDescent="0.25">
      <c r="A75" s="295"/>
      <c r="B75" s="290"/>
      <c r="C75" s="295"/>
      <c r="D75" s="295"/>
      <c r="E75" s="296"/>
      <c r="F75" s="290"/>
      <c r="G75" s="295"/>
      <c r="H75" s="295"/>
      <c r="I75" s="295"/>
      <c r="J75" s="296"/>
      <c r="K75" s="295"/>
    </row>
    <row r="76" spans="1:11" ht="15.95" customHeight="1" x14ac:dyDescent="0.25">
      <c r="A76" s="295"/>
      <c r="B76" s="290"/>
      <c r="C76" s="295"/>
      <c r="D76" s="295"/>
      <c r="E76" s="296"/>
      <c r="F76" s="290"/>
      <c r="G76" s="295"/>
      <c r="H76" s="295"/>
      <c r="I76" s="295"/>
      <c r="J76" s="296"/>
      <c r="K76" s="295"/>
    </row>
    <row r="77" spans="1:11" ht="15.95" customHeight="1" x14ac:dyDescent="0.25">
      <c r="A77" s="295"/>
      <c r="B77" s="290"/>
      <c r="C77" s="295"/>
      <c r="D77" s="295"/>
      <c r="E77" s="296"/>
      <c r="F77" s="290"/>
      <c r="G77" s="295"/>
      <c r="H77" s="295"/>
      <c r="I77" s="295"/>
      <c r="J77" s="296"/>
      <c r="K77" s="295"/>
    </row>
    <row r="78" spans="1:11" ht="15.95" customHeight="1" x14ac:dyDescent="0.25">
      <c r="A78" s="295"/>
      <c r="B78" s="290"/>
      <c r="C78" s="295"/>
      <c r="D78" s="295"/>
      <c r="E78" s="296"/>
      <c r="F78" s="290"/>
      <c r="G78" s="295"/>
      <c r="H78" s="295"/>
      <c r="I78" s="295"/>
      <c r="J78" s="296"/>
      <c r="K78" s="295"/>
    </row>
    <row r="79" spans="1:11" ht="15.95" customHeight="1" x14ac:dyDescent="0.25">
      <c r="A79" s="295"/>
      <c r="B79" s="290"/>
      <c r="C79" s="295"/>
      <c r="D79" s="295"/>
      <c r="E79" s="296"/>
      <c r="F79" s="290"/>
      <c r="G79" s="295"/>
      <c r="H79" s="295"/>
      <c r="I79" s="295"/>
      <c r="J79" s="296"/>
      <c r="K79" s="295"/>
    </row>
    <row r="80" spans="1:11" ht="15.95" customHeight="1" x14ac:dyDescent="0.25">
      <c r="A80" s="295"/>
      <c r="B80" s="290"/>
      <c r="C80" s="295"/>
      <c r="D80" s="295"/>
      <c r="E80" s="296"/>
      <c r="F80" s="290"/>
      <c r="G80" s="295"/>
      <c r="H80" s="295"/>
      <c r="I80" s="295"/>
      <c r="J80" s="296"/>
      <c r="K80" s="295"/>
    </row>
    <row r="81" spans="1:11" ht="15.95" customHeight="1" x14ac:dyDescent="0.25">
      <c r="A81" s="295"/>
      <c r="B81" s="290"/>
      <c r="C81" s="295"/>
      <c r="D81" s="295"/>
      <c r="E81" s="296"/>
      <c r="F81" s="290"/>
      <c r="G81" s="295"/>
      <c r="H81" s="295"/>
      <c r="I81" s="295"/>
      <c r="J81" s="296"/>
      <c r="K81" s="295"/>
    </row>
    <row r="82" spans="1:11" ht="15.95" customHeight="1" x14ac:dyDescent="0.25">
      <c r="A82" s="295"/>
      <c r="B82" s="290"/>
      <c r="C82" s="295"/>
      <c r="D82" s="295"/>
      <c r="E82" s="296"/>
      <c r="F82" s="290"/>
      <c r="G82" s="295"/>
      <c r="H82" s="295"/>
      <c r="I82" s="295"/>
      <c r="J82" s="296"/>
      <c r="K82" s="295"/>
    </row>
    <row r="83" spans="1:11" ht="15.95" customHeight="1" x14ac:dyDescent="0.25">
      <c r="A83" s="295"/>
      <c r="B83" s="290"/>
      <c r="C83" s="295"/>
      <c r="D83" s="295"/>
      <c r="E83" s="296"/>
      <c r="F83" s="290"/>
      <c r="G83" s="295"/>
      <c r="H83" s="295"/>
      <c r="I83" s="295"/>
      <c r="J83" s="296"/>
      <c r="K83" s="295"/>
    </row>
    <row r="84" spans="1:11" ht="15.95" customHeight="1" x14ac:dyDescent="0.25">
      <c r="A84" s="295"/>
      <c r="B84" s="290"/>
      <c r="C84" s="295"/>
      <c r="D84" s="295"/>
      <c r="E84" s="296"/>
      <c r="F84" s="290"/>
      <c r="G84" s="295"/>
      <c r="H84" s="295"/>
      <c r="I84" s="295"/>
      <c r="J84" s="296"/>
      <c r="K84" s="295"/>
    </row>
    <row r="85" spans="1:11" ht="15.95" customHeight="1" x14ac:dyDescent="0.25">
      <c r="A85" s="295"/>
      <c r="B85" s="290"/>
      <c r="C85" s="295"/>
      <c r="D85" s="295"/>
      <c r="E85" s="296"/>
      <c r="F85" s="290"/>
      <c r="G85" s="295"/>
      <c r="H85" s="295"/>
      <c r="I85" s="295"/>
      <c r="J85" s="296"/>
      <c r="K85" s="295"/>
    </row>
    <row r="86" spans="1:11" ht="15.95" customHeight="1" x14ac:dyDescent="0.25">
      <c r="A86" s="295"/>
      <c r="B86" s="290"/>
      <c r="C86" s="295"/>
      <c r="D86" s="295"/>
      <c r="E86" s="296"/>
      <c r="F86" s="290"/>
      <c r="G86" s="295"/>
      <c r="H86" s="295"/>
      <c r="I86" s="295"/>
      <c r="J86" s="296"/>
      <c r="K86" s="295"/>
    </row>
    <row r="87" spans="1:11" ht="15.95" customHeight="1" x14ac:dyDescent="0.25">
      <c r="A87" s="295"/>
      <c r="B87" s="290"/>
      <c r="C87" s="295"/>
      <c r="D87" s="295"/>
      <c r="E87" s="296"/>
      <c r="F87" s="290"/>
      <c r="G87" s="295"/>
      <c r="H87" s="295"/>
      <c r="I87" s="295"/>
      <c r="J87" s="296"/>
      <c r="K87" s="295"/>
    </row>
    <row r="88" spans="1:11" ht="15.95" customHeight="1" x14ac:dyDescent="0.25">
      <c r="A88" s="295"/>
      <c r="B88" s="290"/>
      <c r="C88" s="295"/>
      <c r="D88" s="295"/>
      <c r="E88" s="296"/>
      <c r="F88" s="290"/>
      <c r="G88" s="295"/>
      <c r="H88" s="295"/>
      <c r="I88" s="295"/>
      <c r="J88" s="296"/>
      <c r="K88" s="295"/>
    </row>
    <row r="89" spans="1:11" ht="15.95" customHeight="1" x14ac:dyDescent="0.25">
      <c r="A89" s="295"/>
      <c r="B89" s="290"/>
      <c r="C89" s="295"/>
      <c r="D89" s="295"/>
      <c r="E89" s="296"/>
      <c r="F89" s="290"/>
      <c r="G89" s="295"/>
      <c r="H89" s="295"/>
      <c r="I89" s="295"/>
      <c r="J89" s="296"/>
      <c r="K89" s="295"/>
    </row>
    <row r="90" spans="1:11" ht="15.95" customHeight="1" x14ac:dyDescent="0.25">
      <c r="A90" s="295"/>
      <c r="B90" s="290"/>
      <c r="C90" s="295"/>
      <c r="D90" s="295"/>
      <c r="E90" s="296"/>
      <c r="F90" s="290"/>
      <c r="G90" s="295"/>
      <c r="H90" s="295"/>
      <c r="I90" s="295"/>
      <c r="J90" s="296"/>
      <c r="K90" s="295"/>
    </row>
    <row r="91" spans="1:11" ht="15.95" customHeight="1" x14ac:dyDescent="0.25">
      <c r="A91" s="295"/>
      <c r="B91" s="290"/>
      <c r="C91" s="295"/>
      <c r="D91" s="295"/>
      <c r="E91" s="296"/>
      <c r="F91" s="290"/>
      <c r="G91" s="295"/>
      <c r="H91" s="295"/>
      <c r="I91" s="295"/>
      <c r="J91" s="296"/>
      <c r="K91" s="295"/>
    </row>
    <row r="92" spans="1:11" ht="15.95" customHeight="1" x14ac:dyDescent="0.25">
      <c r="A92" s="295"/>
      <c r="B92" s="290"/>
      <c r="C92" s="295"/>
      <c r="D92" s="295"/>
      <c r="E92" s="296"/>
      <c r="F92" s="290"/>
      <c r="G92" s="295"/>
      <c r="H92" s="295"/>
      <c r="I92" s="295"/>
      <c r="J92" s="296"/>
      <c r="K92" s="295"/>
    </row>
    <row r="93" spans="1:11" x14ac:dyDescent="0.25">
      <c r="A93" s="295"/>
      <c r="B93" s="291"/>
      <c r="C93" s="312"/>
      <c r="D93" s="312"/>
      <c r="E93" s="293"/>
      <c r="F93" s="291"/>
      <c r="G93" s="312"/>
      <c r="H93" s="312"/>
      <c r="I93" s="312"/>
      <c r="J93" s="293"/>
      <c r="K93" s="295"/>
    </row>
    <row r="94" spans="1:11" ht="15.95" customHeight="1" x14ac:dyDescent="0.25"/>
    <row r="95" spans="1:11" ht="15.95" customHeight="1" x14ac:dyDescent="0.25"/>
    <row r="96" spans="1:11" ht="15.95" customHeight="1" x14ac:dyDescent="0.25"/>
    <row r="97" spans="5:5" x14ac:dyDescent="0.25">
      <c r="E97" s="314"/>
    </row>
    <row r="98" spans="5:5" x14ac:dyDescent="0.25">
      <c r="E98" s="314"/>
    </row>
    <row r="99" spans="5:5" x14ac:dyDescent="0.25">
      <c r="E99" s="314"/>
    </row>
    <row r="100" spans="5:5" x14ac:dyDescent="0.25">
      <c r="E100" s="314"/>
    </row>
    <row r="101" spans="5:5" x14ac:dyDescent="0.25">
      <c r="E101" s="314"/>
    </row>
    <row r="102" spans="5:5" x14ac:dyDescent="0.25">
      <c r="E102" s="314"/>
    </row>
    <row r="103" spans="5:5" x14ac:dyDescent="0.25">
      <c r="E103" s="314"/>
    </row>
    <row r="104" spans="5:5" x14ac:dyDescent="0.25">
      <c r="E104" s="314"/>
    </row>
    <row r="105" spans="5:5" x14ac:dyDescent="0.25">
      <c r="E105" s="314"/>
    </row>
    <row r="106" spans="5:5" x14ac:dyDescent="0.25">
      <c r="E106" s="314"/>
    </row>
    <row r="107" spans="5:5" x14ac:dyDescent="0.25">
      <c r="E107" s="314"/>
    </row>
    <row r="108" spans="5:5" x14ac:dyDescent="0.25">
      <c r="E108" s="314"/>
    </row>
    <row r="109" spans="5:5" x14ac:dyDescent="0.25">
      <c r="E109" s="314"/>
    </row>
    <row r="110" spans="5:5" x14ac:dyDescent="0.25">
      <c r="E110" s="314"/>
    </row>
    <row r="111" spans="5:5" x14ac:dyDescent="0.25">
      <c r="E111" s="314"/>
    </row>
    <row r="112" spans="5:5" x14ac:dyDescent="0.25">
      <c r="E112" s="314"/>
    </row>
    <row r="113" spans="3:5" x14ac:dyDescent="0.25">
      <c r="E113" s="314"/>
    </row>
    <row r="114" spans="3:5" x14ac:dyDescent="0.25">
      <c r="C114"/>
      <c r="D114"/>
      <c r="E114"/>
    </row>
    <row r="115" spans="3:5" x14ac:dyDescent="0.25">
      <c r="C115"/>
      <c r="D115"/>
    </row>
    <row r="116" spans="3:5" x14ac:dyDescent="0.25">
      <c r="C116"/>
      <c r="D116"/>
    </row>
    <row r="117" spans="3:5" x14ac:dyDescent="0.25">
      <c r="C117"/>
      <c r="D117"/>
    </row>
    <row r="118" spans="3:5" x14ac:dyDescent="0.25">
      <c r="C118"/>
      <c r="D118"/>
    </row>
    <row r="119" spans="3:5" x14ac:dyDescent="0.25">
      <c r="C119"/>
      <c r="D119"/>
    </row>
    <row r="120" spans="3:5" x14ac:dyDescent="0.25">
      <c r="C120"/>
      <c r="D120"/>
    </row>
    <row r="121" spans="3:5" x14ac:dyDescent="0.25">
      <c r="C121"/>
      <c r="D121"/>
    </row>
    <row r="122" spans="3:5" x14ac:dyDescent="0.25">
      <c r="C122"/>
      <c r="D122"/>
    </row>
    <row r="123" spans="3:5" x14ac:dyDescent="0.25">
      <c r="C123"/>
      <c r="D123"/>
    </row>
    <row r="124" spans="3:5" x14ac:dyDescent="0.25">
      <c r="C124"/>
      <c r="D124"/>
    </row>
    <row r="125" spans="3:5" x14ac:dyDescent="0.25">
      <c r="C125"/>
      <c r="D125"/>
    </row>
    <row r="126" spans="3:5" x14ac:dyDescent="0.25">
      <c r="C126"/>
      <c r="D126"/>
    </row>
    <row r="127" spans="3:5" x14ac:dyDescent="0.25">
      <c r="C127"/>
      <c r="D127"/>
    </row>
    <row r="128" spans="3:5"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row>
    <row r="147" spans="3:4" x14ac:dyDescent="0.25">
      <c r="C147"/>
    </row>
    <row r="148" spans="3:4" x14ac:dyDescent="0.25">
      <c r="C148"/>
    </row>
    <row r="149" spans="3:4" x14ac:dyDescent="0.25">
      <c r="C149"/>
    </row>
    <row r="150" spans="3:4" x14ac:dyDescent="0.25">
      <c r="C150"/>
    </row>
    <row r="151" spans="3:4" x14ac:dyDescent="0.25">
      <c r="C151"/>
    </row>
    <row r="152" spans="3:4" x14ac:dyDescent="0.25">
      <c r="C152"/>
    </row>
    <row r="153" spans="3:4" x14ac:dyDescent="0.25">
      <c r="C153"/>
    </row>
    <row r="154" spans="3:4" x14ac:dyDescent="0.25">
      <c r="C154"/>
    </row>
    <row r="155" spans="3:4" x14ac:dyDescent="0.25">
      <c r="C155"/>
    </row>
    <row r="156" spans="3:4" x14ac:dyDescent="0.25">
      <c r="C156"/>
    </row>
    <row r="157" spans="3:4" x14ac:dyDescent="0.25">
      <c r="C157"/>
    </row>
    <row r="158" spans="3:4" x14ac:dyDescent="0.25">
      <c r="C158"/>
    </row>
    <row r="159" spans="3:4" x14ac:dyDescent="0.25">
      <c r="C159"/>
    </row>
    <row r="160" spans="3:4"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sheetData>
  <mergeCells count="7">
    <mergeCell ref="G2:I2"/>
    <mergeCell ref="B7:J7"/>
    <mergeCell ref="B66:J66"/>
    <mergeCell ref="B69:E69"/>
    <mergeCell ref="F69:J69"/>
    <mergeCell ref="D10:F10"/>
    <mergeCell ref="G10:I10"/>
  </mergeCell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8" tint="-0.249977111117893"/>
    <pageSetUpPr fitToPage="1"/>
  </sheetPr>
  <dimension ref="A1:Q2566"/>
  <sheetViews>
    <sheetView topLeftCell="B9" zoomScale="90" zoomScaleNormal="90" workbookViewId="0">
      <selection activeCell="K9" sqref="K9"/>
    </sheetView>
  </sheetViews>
  <sheetFormatPr baseColWidth="10" defaultRowHeight="12.75" x14ac:dyDescent="0.25"/>
  <cols>
    <col min="1" max="1" width="6.7109375" style="22" customWidth="1"/>
    <col min="2" max="2" width="3.7109375" style="22" customWidth="1"/>
    <col min="3" max="3" width="20.85546875" style="22" customWidth="1"/>
    <col min="4" max="4" width="19.140625" style="22" customWidth="1"/>
    <col min="5" max="5" width="18.7109375" style="22" customWidth="1"/>
    <col min="6" max="6" width="10.42578125" style="489" bestFit="1" customWidth="1"/>
    <col min="7" max="7" width="3.85546875" style="489" customWidth="1"/>
    <col min="8" max="8" width="13.7109375" style="22" customWidth="1"/>
    <col min="9" max="9" width="12.7109375" style="22" customWidth="1"/>
    <col min="10" max="11" width="15.7109375" style="22" customWidth="1"/>
    <col min="12" max="12" width="18.5703125" style="22" customWidth="1"/>
    <col min="13" max="13" width="19.7109375" style="22" bestFit="1" customWidth="1"/>
    <col min="14" max="14" width="4.5703125" style="22" customWidth="1"/>
    <col min="15" max="15" width="28.85546875" style="22" bestFit="1" customWidth="1"/>
    <col min="16" max="16" width="13.7109375" style="22" bestFit="1" customWidth="1"/>
    <col min="17" max="17" width="6" style="22" bestFit="1" customWidth="1"/>
    <col min="18" max="18" width="8.7109375" style="22" customWidth="1"/>
    <col min="19" max="19" width="5.7109375" style="22" customWidth="1"/>
    <col min="20" max="22" width="14.7109375" style="22" customWidth="1"/>
    <col min="23" max="16384" width="11.42578125" style="22"/>
  </cols>
  <sheetData>
    <row r="1" spans="1:17" ht="18" customHeight="1" x14ac:dyDescent="0.25">
      <c r="A1" s="121"/>
      <c r="B1" s="19"/>
      <c r="C1" s="20"/>
      <c r="D1" s="20"/>
      <c r="E1" s="20"/>
      <c r="F1" s="479"/>
      <c r="G1" s="479"/>
      <c r="H1" s="20"/>
      <c r="I1" s="20"/>
      <c r="J1" s="20"/>
      <c r="K1" s="20"/>
      <c r="L1" s="20"/>
      <c r="M1" s="20"/>
      <c r="N1" s="21"/>
      <c r="O1" s="195"/>
    </row>
    <row r="2" spans="1:17" ht="18" customHeight="1" x14ac:dyDescent="0.25">
      <c r="A2" s="121"/>
      <c r="B2" s="23"/>
      <c r="C2" s="24"/>
      <c r="D2" s="24"/>
      <c r="E2" s="24"/>
      <c r="F2" s="480"/>
      <c r="G2" s="480"/>
      <c r="H2" s="24"/>
      <c r="I2" s="24"/>
      <c r="J2" s="672" t="s">
        <v>1</v>
      </c>
      <c r="K2" s="673"/>
      <c r="L2" s="673"/>
      <c r="M2" s="674"/>
      <c r="N2" s="25"/>
      <c r="O2" s="195"/>
    </row>
    <row r="3" spans="1:17" ht="18" customHeight="1" x14ac:dyDescent="0.25">
      <c r="A3" s="121"/>
      <c r="B3" s="23"/>
      <c r="C3" s="24"/>
      <c r="D3" s="24"/>
      <c r="E3" s="24"/>
      <c r="F3" s="480"/>
      <c r="G3" s="480"/>
      <c r="H3" s="24"/>
      <c r="I3" s="24"/>
      <c r="J3" s="24"/>
      <c r="K3" s="24"/>
      <c r="L3" s="24"/>
      <c r="N3" s="25"/>
      <c r="O3" s="196"/>
    </row>
    <row r="4" spans="1:17" ht="18" customHeight="1" x14ac:dyDescent="0.25">
      <c r="A4" s="121"/>
      <c r="B4" s="23"/>
      <c r="C4" s="24"/>
      <c r="D4" s="24"/>
      <c r="E4" s="24"/>
      <c r="F4" s="480"/>
      <c r="G4" s="480"/>
      <c r="H4" s="24"/>
      <c r="I4" s="24"/>
      <c r="J4" s="124" t="s">
        <v>18</v>
      </c>
      <c r="K4" s="24"/>
      <c r="L4" s="123" t="s">
        <v>0</v>
      </c>
      <c r="M4" s="80">
        <f>+Reporte!N6</f>
        <v>45861</v>
      </c>
      <c r="N4" s="25"/>
      <c r="O4" s="196" t="s">
        <v>386</v>
      </c>
      <c r="P4" s="416">
        <f>+VLOOKUP(M4,'Tasas-TC'!A778:B2507,2,0)</f>
        <v>0.32187500000000002</v>
      </c>
    </row>
    <row r="5" spans="1:17" ht="18" customHeight="1" x14ac:dyDescent="0.25">
      <c r="A5" s="121"/>
      <c r="B5" s="26"/>
      <c r="C5" s="27"/>
      <c r="D5" s="27"/>
      <c r="E5" s="27"/>
      <c r="F5" s="481"/>
      <c r="G5" s="481"/>
      <c r="H5" s="27"/>
      <c r="I5" s="27"/>
      <c r="J5" s="27"/>
      <c r="K5" s="27"/>
      <c r="L5" s="27"/>
      <c r="M5" s="27"/>
      <c r="N5" s="28"/>
      <c r="O5" s="195"/>
    </row>
    <row r="6" spans="1:17" ht="20.100000000000001" customHeight="1" x14ac:dyDescent="0.25">
      <c r="A6" s="121"/>
      <c r="B6" s="111"/>
      <c r="C6" s="112"/>
      <c r="D6" s="112"/>
      <c r="E6" s="112"/>
      <c r="F6" s="482"/>
      <c r="G6" s="482"/>
      <c r="H6" s="113"/>
      <c r="I6" s="113"/>
      <c r="J6" s="112"/>
      <c r="K6" s="112"/>
      <c r="L6" s="112"/>
      <c r="M6" s="112"/>
      <c r="N6" s="114"/>
      <c r="O6" s="195"/>
    </row>
    <row r="7" spans="1:17" ht="20.100000000000001" customHeight="1" x14ac:dyDescent="0.25">
      <c r="A7" s="122" t="s">
        <v>115</v>
      </c>
      <c r="B7" s="635" t="s">
        <v>376</v>
      </c>
      <c r="C7" s="636"/>
      <c r="D7" s="636"/>
      <c r="E7" s="636"/>
      <c r="F7" s="636"/>
      <c r="G7" s="636"/>
      <c r="H7" s="636"/>
      <c r="I7" s="636"/>
      <c r="J7" s="636"/>
      <c r="K7" s="636"/>
      <c r="L7" s="636"/>
      <c r="M7" s="636"/>
      <c r="N7" s="637"/>
      <c r="O7" s="195"/>
    </row>
    <row r="8" spans="1:17" ht="15.95" customHeight="1" x14ac:dyDescent="0.25">
      <c r="A8" s="121"/>
      <c r="B8" s="23"/>
      <c r="C8" s="24"/>
      <c r="D8" s="24"/>
      <c r="E8" s="24"/>
      <c r="F8" s="483"/>
      <c r="G8" s="484"/>
      <c r="H8" s="31"/>
      <c r="I8" s="31"/>
      <c r="J8" s="24"/>
      <c r="K8" s="24"/>
      <c r="L8" s="24"/>
      <c r="M8" s="24"/>
      <c r="N8" s="25"/>
      <c r="O8" s="195"/>
    </row>
    <row r="9" spans="1:17" ht="15.95" customHeight="1" x14ac:dyDescent="0.25">
      <c r="A9" s="121"/>
      <c r="B9" s="23"/>
      <c r="C9" s="638" t="s">
        <v>37</v>
      </c>
      <c r="D9" s="639"/>
      <c r="E9" s="640"/>
      <c r="F9" s="483"/>
      <c r="G9" s="484"/>
      <c r="H9" s="503" t="s">
        <v>28</v>
      </c>
      <c r="I9" s="504"/>
      <c r="J9" s="707">
        <v>0</v>
      </c>
      <c r="K9" s="483"/>
      <c r="L9" s="710"/>
      <c r="M9" s="24"/>
      <c r="N9" s="25"/>
      <c r="O9" s="194" t="str">
        <f>+D13</f>
        <v>ON Pyme CNV Garantizada</v>
      </c>
    </row>
    <row r="10" spans="1:17" ht="15.95" customHeight="1" x14ac:dyDescent="0.25">
      <c r="A10" s="121"/>
      <c r="B10" s="23"/>
      <c r="C10" s="58"/>
      <c r="D10" s="664"/>
      <c r="E10" s="665"/>
      <c r="F10" s="483"/>
      <c r="G10" s="484"/>
      <c r="H10" s="501" t="s">
        <v>29</v>
      </c>
      <c r="I10" s="502"/>
      <c r="J10" s="708">
        <f>+$D$26</f>
        <v>45471</v>
      </c>
      <c r="K10" s="483"/>
      <c r="L10" s="710"/>
      <c r="M10" s="24"/>
      <c r="N10" s="25"/>
      <c r="O10" s="195"/>
    </row>
    <row r="11" spans="1:17" ht="15.95" customHeight="1" x14ac:dyDescent="0.25">
      <c r="A11" s="121"/>
      <c r="B11" s="23"/>
      <c r="C11" s="59" t="s">
        <v>25</v>
      </c>
      <c r="D11" s="658"/>
      <c r="E11" s="659"/>
      <c r="F11" s="483"/>
      <c r="G11" s="484"/>
      <c r="H11" s="505" t="s">
        <v>30</v>
      </c>
      <c r="I11" s="506"/>
      <c r="J11" s="709" t="s">
        <v>523</v>
      </c>
      <c r="K11" s="483"/>
      <c r="L11" s="710"/>
      <c r="M11" s="24"/>
      <c r="N11" s="25"/>
      <c r="O11" s="194" t="str">
        <f>+IF(J11="vencida",IF(D13='Reporte - Oscuro'!$C$40,'Reporte - Oscuro'!$C$40&amp;" vencida",IF(D13='Reporte - Oscuro'!$C$41,'Reporte - Oscuro'!$C$41&amp;" vencida",IF(D13='Reporte - Oscuro'!$C$42,'Reporte - Oscuro'!$C$42&amp;" vencida",'Reporte - Oscuro'!$C$43&amp;" vencida"))),D13&amp;" vigente")</f>
        <v>ON Pyme CNV Garantizada vencida</v>
      </c>
    </row>
    <row r="12" spans="1:17" ht="15.95" customHeight="1" x14ac:dyDescent="0.25">
      <c r="A12" s="121"/>
      <c r="B12" s="23"/>
      <c r="C12" s="59" t="s">
        <v>6</v>
      </c>
      <c r="D12" s="658" t="s">
        <v>375</v>
      </c>
      <c r="E12" s="659"/>
      <c r="F12" s="483"/>
      <c r="G12" s="484"/>
      <c r="H12" s="272"/>
      <c r="I12" s="272"/>
      <c r="J12" s="24"/>
      <c r="K12" s="24"/>
      <c r="L12" s="24"/>
      <c r="M12" s="24"/>
      <c r="N12" s="25"/>
      <c r="O12" s="195"/>
    </row>
    <row r="13" spans="1:17" ht="15.95" customHeight="1" x14ac:dyDescent="0.25">
      <c r="A13" s="121"/>
      <c r="B13" s="23"/>
      <c r="C13" s="59" t="s">
        <v>8</v>
      </c>
      <c r="D13" s="658" t="s">
        <v>17</v>
      </c>
      <c r="E13" s="659"/>
      <c r="F13" s="483"/>
      <c r="G13" s="484"/>
      <c r="H13" s="651" t="s">
        <v>41</v>
      </c>
      <c r="I13" s="652"/>
      <c r="J13" s="652"/>
      <c r="K13" s="652"/>
      <c r="L13" s="653"/>
      <c r="M13" s="24"/>
      <c r="N13" s="25"/>
      <c r="O13" s="195"/>
    </row>
    <row r="14" spans="1:17" ht="15.95" customHeight="1" x14ac:dyDescent="0.25">
      <c r="A14" s="121"/>
      <c r="B14" s="23"/>
      <c r="C14" s="59" t="s">
        <v>33</v>
      </c>
      <c r="D14" s="73" t="s">
        <v>308</v>
      </c>
      <c r="E14" s="273">
        <v>1</v>
      </c>
      <c r="F14" s="483">
        <f>+E14*J9</f>
        <v>0</v>
      </c>
      <c r="G14" s="484"/>
      <c r="H14" s="81" t="s">
        <v>0</v>
      </c>
      <c r="I14" s="82" t="s">
        <v>2</v>
      </c>
      <c r="J14" s="82" t="s">
        <v>3</v>
      </c>
      <c r="K14" s="82" t="s">
        <v>4</v>
      </c>
      <c r="L14" s="83" t="s">
        <v>5</v>
      </c>
      <c r="M14" s="82" t="s">
        <v>44</v>
      </c>
      <c r="N14" s="25"/>
      <c r="O14" s="195"/>
    </row>
    <row r="15" spans="1:17" ht="15.95" customHeight="1" x14ac:dyDescent="0.25">
      <c r="A15" s="121"/>
      <c r="B15" s="23"/>
      <c r="C15" s="59" t="s">
        <v>34</v>
      </c>
      <c r="D15" s="658" t="s">
        <v>48</v>
      </c>
      <c r="E15" s="659"/>
      <c r="F15" s="483"/>
      <c r="G15" s="484"/>
      <c r="H15" s="45"/>
      <c r="I15" s="46"/>
      <c r="J15" s="46"/>
      <c r="K15" s="46"/>
      <c r="L15" s="47"/>
      <c r="M15" s="23"/>
      <c r="N15" s="25"/>
      <c r="O15" s="195"/>
    </row>
    <row r="16" spans="1:17" ht="15.95" customHeight="1" x14ac:dyDescent="0.25">
      <c r="A16" s="121"/>
      <c r="B16" s="23"/>
      <c r="C16" s="79" t="s">
        <v>38</v>
      </c>
      <c r="D16" s="75"/>
      <c r="E16" s="76"/>
      <c r="F16" s="483"/>
      <c r="G16" s="484"/>
      <c r="H16" s="48">
        <f>+$D$25</f>
        <v>44740</v>
      </c>
      <c r="I16" s="70"/>
      <c r="J16" s="49"/>
      <c r="K16" s="49"/>
      <c r="L16" s="50">
        <f>+D27</f>
        <v>30000000</v>
      </c>
      <c r="M16" s="93">
        <f>-L16</f>
        <v>-30000000</v>
      </c>
      <c r="N16" s="25"/>
      <c r="O16" s="197">
        <f>+M16</f>
        <v>-30000000</v>
      </c>
      <c r="P16" s="197">
        <f>-M16</f>
        <v>30000000</v>
      </c>
      <c r="Q16" s="197"/>
    </row>
    <row r="17" spans="1:17" ht="15.95" customHeight="1" x14ac:dyDescent="0.25">
      <c r="A17" s="121"/>
      <c r="B17" s="23"/>
      <c r="C17" s="59"/>
      <c r="D17" s="73"/>
      <c r="E17" s="74"/>
      <c r="F17" s="483"/>
      <c r="G17" s="484"/>
      <c r="H17" s="51">
        <f>IF(DAY(H16)=DAY($H$16),IF(WEEKDAY(EDATE(H16,$D$64),3)&lt;5,EDATE(H16,$D$64),WORKDAY(EDATE(H16,$D$64),1)),IF(WEEKDAY(EDATE($H$16,$D$64*COUNT($H16:H$16)),3)&lt;5,EDATE($H$16,$D$64*COUNT($H16:H$16)),WORKDAY(EDATE($H$16,$D$64*COUNT($H16:H$16)),1)))</f>
        <v>44923</v>
      </c>
      <c r="I17" s="71" t="s">
        <v>13</v>
      </c>
      <c r="J17" s="52">
        <f>(IF(AND($D$31&lt;&gt;"",$D$31&gt;(AVERAGE(VLOOKUP(WORKDAY.INTL(H17,-7,1,),'Tasas-TC'!A:B,2,FALSE),VLOOKUP(WORKDAY.INTL(H16,-7,1,),'Tasas-TC'!A:B,2,FALSE))+$D$30)),$D$31,IF(AND($D$32&lt;&gt;"",$D$32&lt;(AVERAGE(VLOOKUP(WORKDAY.INTL(H17,-7,1,),'Tasas-TC'!A:B,2,FALSE),VLOOKUP(WORKDAY.INTL(H16,-7,1,),'Tasas-TC'!A:B,2,FALSE))+$D$30)),$D$32,(AVERAGE(VLOOKUP(WORKDAY.INTL(H17,-7,1,),'Tasas-TC'!A:B,2,FALSE),VLOOKUP(WORKDAY.INTL(H16,-7,1,),'Tasas-TC'!A:B,2,FALSE))+$D$30)))/360)*(H17-H16)*L16</f>
        <v>9334906.25</v>
      </c>
      <c r="K17" s="52">
        <f>+IF(OR(I17="A + C",I17="A"),$L$16*$D$33,0)</f>
        <v>7500000</v>
      </c>
      <c r="L17" s="53">
        <f t="shared" ref="L17:L20" si="0">+L16-K17</f>
        <v>22500000</v>
      </c>
      <c r="M17" s="94">
        <f t="shared" ref="M17:M20" si="1">+J17+K17</f>
        <v>16834906.25</v>
      </c>
      <c r="N17" s="25"/>
      <c r="O17" s="197">
        <f t="shared" ref="O17:O20" si="2">+M17+O16</f>
        <v>-13165093.75</v>
      </c>
      <c r="P17" s="197">
        <f>+(M17/(1+$J$62)^((H17-$H$52)/365))/$P$52</f>
        <v>2.8533739406779661</v>
      </c>
      <c r="Q17" s="197">
        <f>+P17*((H17-$H$52)/365)</f>
        <v>12.046710253656839</v>
      </c>
    </row>
    <row r="18" spans="1:17" ht="15.95" customHeight="1" x14ac:dyDescent="0.25">
      <c r="A18" s="121"/>
      <c r="B18" s="23"/>
      <c r="C18" s="60"/>
      <c r="D18" s="77"/>
      <c r="E18" s="78"/>
      <c r="F18" s="483"/>
      <c r="G18" s="484"/>
      <c r="H18" s="51">
        <f>IF(DAY(H17)=DAY($H$16),IF(WEEKDAY(EDATE(H17,$D$64),3)&lt;5,EDATE(H17,$D$64),WORKDAY(EDATE(H17,$D$64),1)),IF(WEEKDAY(EDATE($H$16,$D$64*COUNT($H$16:H17)),3)&lt;5,EDATE($H$16,$D$64*COUNT($H$16:H17)),WORKDAY(EDATE($H$16,$D$64*COUNT($H$16:H17)),1)))</f>
        <v>45105</v>
      </c>
      <c r="I18" s="71" t="s">
        <v>13</v>
      </c>
      <c r="J18" s="52">
        <f>(IF(AND($D$31&lt;&gt;"",$D$31&gt;(AVERAGE(VLOOKUP(WORKDAY.INTL(H18,-7,1,),'Tasas-TC'!A:B,2,FALSE),VLOOKUP(WORKDAY.INTL(H17,-7,1,),'Tasas-TC'!A:B,2,FALSE))+$D$30)),$D$31,IF(AND($D$32&lt;&gt;"",$D$32&lt;(AVERAGE(VLOOKUP(WORKDAY.INTL(H18,-7,1,),'Tasas-TC'!A:B,2,FALSE),VLOOKUP(WORKDAY.INTL(H17,-7,1,),'Tasas-TC'!A:B,2,FALSE))+$D$30)),$D$32,(AVERAGE(VLOOKUP(WORKDAY.INTL(H18,-7,1,),'Tasas-TC'!A:B,2,FALSE),VLOOKUP(WORKDAY.INTL(H17,-7,1,),'Tasas-TC'!A:B,2,FALSE))+$D$30)))/360)*(H18-H17)*L17</f>
        <v>9568507.8125000019</v>
      </c>
      <c r="K18" s="52">
        <f t="shared" ref="K18:K20" si="3">+IF(OR(I18="A + C",I18="A"),$L$16*$D$33,0)</f>
        <v>7500000</v>
      </c>
      <c r="L18" s="53">
        <f t="shared" si="0"/>
        <v>15000000</v>
      </c>
      <c r="M18" s="94">
        <f t="shared" si="1"/>
        <v>17068507.8125</v>
      </c>
      <c r="N18" s="25"/>
      <c r="O18" s="197">
        <f t="shared" si="2"/>
        <v>3903414.0625</v>
      </c>
      <c r="P18" s="197">
        <f t="shared" ref="P18:P20" si="4">+(M18/(1+$J$62)^((H18-$H$52)/365))/$P$52</f>
        <v>2.8929674258474578</v>
      </c>
      <c r="Q18" s="197">
        <f t="shared" ref="Q18:Q20" si="5">+P18*((H18-$H$52)/365)</f>
        <v>13.656391437630601</v>
      </c>
    </row>
    <row r="19" spans="1:17" ht="15.95" customHeight="1" x14ac:dyDescent="0.25">
      <c r="A19" s="121"/>
      <c r="B19" s="23"/>
      <c r="C19" s="60"/>
      <c r="D19" s="666" t="str">
        <f>+B7</f>
        <v>Agrocomercial Suardi I</v>
      </c>
      <c r="E19" s="667"/>
      <c r="F19" s="483"/>
      <c r="G19" s="484">
        <f>+J9</f>
        <v>0</v>
      </c>
      <c r="H19" s="51">
        <f>IF(DAY(H18)=DAY($H$16),IF(WEEKDAY(EDATE(H18,$D$64),3)&lt;5,EDATE(H18,$D$64),WORKDAY(EDATE(H18,$D$64),1)),IF(WEEKDAY(EDATE($H$16,$D$64*COUNT($H$16:H18)),3)&lt;5,EDATE($H$16,$D$64*COUNT($H$16:H18)),WORKDAY(EDATE($H$16,$D$64*COUNT($H$16:H18)),1)))</f>
        <v>45288</v>
      </c>
      <c r="I19" s="71" t="s">
        <v>13</v>
      </c>
      <c r="J19" s="52">
        <f>(IF(AND($D$31&lt;&gt;"",$D$31&gt;(AVERAGE(VLOOKUP(WORKDAY.INTL(H19,-7,1,),'Tasas-TC'!A:B,2,FALSE),VLOOKUP(WORKDAY.INTL(H18,-7,1,),'Tasas-TC'!A:B,2,FALSE))+$D$30)),$D$31,IF(AND($D$32&lt;&gt;"",$D$32&lt;(AVERAGE(VLOOKUP(WORKDAY.INTL(H19,-7,1,),'Tasas-TC'!A:B,2,FALSE),VLOOKUP(WORKDAY.INTL(H18,-7,1,),'Tasas-TC'!A:B,2,FALSE))+$D$30)),$D$32,(AVERAGE(VLOOKUP(WORKDAY.INTL(H19,-7,1,),'Tasas-TC'!A:B,2,FALSE),VLOOKUP(WORKDAY.INTL(H18,-7,1,),'Tasas-TC'!A:B,2,FALSE))+$D$30)))/360)*(H19-H18)*L18</f>
        <v>8661046.875</v>
      </c>
      <c r="K19" s="52">
        <f t="shared" si="3"/>
        <v>7500000</v>
      </c>
      <c r="L19" s="53">
        <f t="shared" si="0"/>
        <v>7500000</v>
      </c>
      <c r="M19" s="94">
        <f t="shared" si="1"/>
        <v>16161046.875</v>
      </c>
      <c r="N19" s="25"/>
      <c r="O19" s="197">
        <f t="shared" si="2"/>
        <v>20064460.9375</v>
      </c>
      <c r="P19" s="197">
        <f t="shared" si="4"/>
        <v>2.7391604872881357</v>
      </c>
      <c r="Q19" s="197">
        <f t="shared" si="5"/>
        <v>14.303670928140237</v>
      </c>
    </row>
    <row r="20" spans="1:17" ht="15.95" customHeight="1" x14ac:dyDescent="0.25">
      <c r="A20" s="121"/>
      <c r="B20" s="32"/>
      <c r="D20" s="644"/>
      <c r="E20" s="660"/>
      <c r="F20" s="483"/>
      <c r="G20" s="484"/>
      <c r="H20" s="51">
        <f>IF(DAY(H19)=DAY($H$16),IF(WEEKDAY(EDATE(H19,$D$64),3)&lt;5,EDATE(H19,$D$64),WORKDAY(EDATE(H19,$D$64),1)),IF(WEEKDAY(EDATE($H$16,$D$64*COUNT($H$16:H19)),3)&lt;5,EDATE($H$16,$D$64*COUNT($H$16:H19)),WORKDAY(EDATE($H$16,$D$64*COUNT($H$16:H19)),1)))</f>
        <v>45471</v>
      </c>
      <c r="I20" s="71" t="s">
        <v>13</v>
      </c>
      <c r="J20" s="52">
        <f>(IF(AND($D$31&lt;&gt;"",$D$31&gt;(AVERAGE(VLOOKUP(WORKDAY.INTL(H20,-7,1,),'Tasas-TC'!A:B,2,FALSE),VLOOKUP(WORKDAY.INTL(H19,-7,1,),'Tasas-TC'!A:B,2,FALSE))+$D$30)),$D$31,IF(AND($D$32&lt;&gt;"",$D$32&lt;(AVERAGE(VLOOKUP(WORKDAY.INTL(H20,-7,1,),'Tasas-TC'!A:B,2,FALSE),VLOOKUP(WORKDAY.INTL(H19,-7,1,),'Tasas-TC'!A:B,2,FALSE))+$D$30)),$D$32,(AVERAGE(VLOOKUP(WORKDAY.INTL(H20,-7,1,),'Tasas-TC'!A:B,2,FALSE),VLOOKUP(WORKDAY.INTL(H19,-7,1,),'Tasas-TC'!A:B,2,FALSE))+$D$30)))/360)*(H20-H19)*L19</f>
        <v>3220132.8125000005</v>
      </c>
      <c r="K20" s="52">
        <f t="shared" si="3"/>
        <v>7500000</v>
      </c>
      <c r="L20" s="53">
        <f t="shared" si="0"/>
        <v>0</v>
      </c>
      <c r="M20" s="94">
        <f t="shared" si="1"/>
        <v>10720132.8125</v>
      </c>
      <c r="N20" s="25"/>
      <c r="O20" s="197">
        <f t="shared" si="2"/>
        <v>30784593.75</v>
      </c>
      <c r="P20" s="197">
        <f t="shared" si="4"/>
        <v>1.8169716631355932</v>
      </c>
      <c r="Q20" s="197">
        <f t="shared" si="5"/>
        <v>10.399051518603436</v>
      </c>
    </row>
    <row r="21" spans="1:17" ht="15.95" customHeight="1" x14ac:dyDescent="0.25">
      <c r="A21" s="121"/>
      <c r="B21" s="23"/>
      <c r="C21" s="638" t="s">
        <v>36</v>
      </c>
      <c r="D21" s="640"/>
      <c r="E21" s="36"/>
      <c r="F21" s="483"/>
      <c r="G21" s="484"/>
      <c r="H21" s="51"/>
      <c r="I21" s="71"/>
      <c r="J21" s="52"/>
      <c r="K21" s="52"/>
      <c r="L21" s="53"/>
      <c r="M21" s="94"/>
      <c r="N21" s="25"/>
      <c r="O21" s="197"/>
      <c r="P21" s="197"/>
      <c r="Q21" s="197"/>
    </row>
    <row r="22" spans="1:17" ht="15.95" customHeight="1" x14ac:dyDescent="0.25">
      <c r="A22" s="121"/>
      <c r="B22" s="23"/>
      <c r="C22" s="59"/>
      <c r="D22" s="62"/>
      <c r="E22" s="36"/>
      <c r="F22" s="483"/>
      <c r="G22" s="484"/>
      <c r="H22" s="51"/>
      <c r="I22" s="71"/>
      <c r="J22" s="52"/>
      <c r="K22" s="52"/>
      <c r="L22" s="53"/>
      <c r="M22" s="94"/>
      <c r="N22" s="25"/>
      <c r="O22" s="197"/>
      <c r="P22" s="197"/>
      <c r="Q22" s="197"/>
    </row>
    <row r="23" spans="1:17" ht="15.95" customHeight="1" x14ac:dyDescent="0.25">
      <c r="A23" s="121"/>
      <c r="B23" s="23"/>
      <c r="C23" s="59" t="s">
        <v>9</v>
      </c>
      <c r="D23" s="98" t="s">
        <v>18</v>
      </c>
      <c r="E23" s="36"/>
      <c r="F23" s="483"/>
      <c r="G23" s="484"/>
      <c r="H23" s="54"/>
      <c r="I23" s="61"/>
      <c r="J23" s="55"/>
      <c r="K23" s="56"/>
      <c r="L23" s="57"/>
      <c r="M23" s="95"/>
      <c r="N23" s="25"/>
      <c r="O23" s="195"/>
      <c r="P23" s="29"/>
    </row>
    <row r="24" spans="1:17" ht="15.95" customHeight="1" x14ac:dyDescent="0.25">
      <c r="A24" s="121"/>
      <c r="B24" s="23"/>
      <c r="C24" s="59" t="s">
        <v>10</v>
      </c>
      <c r="D24" s="65">
        <v>44735</v>
      </c>
      <c r="E24" s="36"/>
      <c r="F24" s="483"/>
      <c r="G24" s="484"/>
      <c r="H24" s="24"/>
      <c r="I24" s="24"/>
      <c r="J24" s="24"/>
      <c r="K24" s="24"/>
      <c r="L24" s="24"/>
      <c r="M24" s="24"/>
      <c r="N24" s="25"/>
      <c r="O24" s="195"/>
      <c r="P24" s="29"/>
    </row>
    <row r="25" spans="1:17" ht="15.95" customHeight="1" x14ac:dyDescent="0.25">
      <c r="A25" s="121"/>
      <c r="B25" s="23"/>
      <c r="C25" s="59" t="s">
        <v>11</v>
      </c>
      <c r="D25" s="65">
        <v>44740</v>
      </c>
      <c r="E25" s="36"/>
      <c r="F25" s="483"/>
      <c r="G25" s="484"/>
      <c r="H25" s="656" t="s">
        <v>43</v>
      </c>
      <c r="I25" s="656"/>
      <c r="J25" s="433">
        <v>0</v>
      </c>
      <c r="K25" s="92"/>
      <c r="L25" s="24"/>
      <c r="M25" s="24"/>
      <c r="N25" s="25"/>
      <c r="O25" s="195"/>
      <c r="P25" s="29"/>
    </row>
    <row r="26" spans="1:17" ht="15.95" customHeight="1" x14ac:dyDescent="0.25">
      <c r="A26" s="121"/>
      <c r="B26" s="23"/>
      <c r="C26" s="59" t="s">
        <v>12</v>
      </c>
      <c r="D26" s="65">
        <v>45471</v>
      </c>
      <c r="E26" s="36"/>
      <c r="F26" s="483"/>
      <c r="G26" s="484"/>
      <c r="H26" s="657"/>
      <c r="I26" s="657"/>
      <c r="J26" s="392"/>
      <c r="K26" s="24"/>
      <c r="L26" s="33"/>
      <c r="M26" s="33"/>
      <c r="N26" s="25"/>
      <c r="O26" s="195"/>
    </row>
    <row r="27" spans="1:17" ht="15.95" customHeight="1" x14ac:dyDescent="0.25">
      <c r="A27" s="121"/>
      <c r="B27" s="23"/>
      <c r="C27" s="59" t="s">
        <v>27</v>
      </c>
      <c r="D27" s="66">
        <v>30000000</v>
      </c>
      <c r="E27" s="41"/>
      <c r="F27" s="480"/>
      <c r="G27" s="485"/>
      <c r="H27" s="24"/>
      <c r="I27" s="24"/>
      <c r="J27" s="24"/>
      <c r="K27" s="24"/>
      <c r="L27" s="24"/>
      <c r="M27" s="24"/>
      <c r="N27" s="25"/>
      <c r="O27" s="195"/>
      <c r="P27" s="37"/>
    </row>
    <row r="28" spans="1:17" ht="15.95" customHeight="1" x14ac:dyDescent="0.25">
      <c r="A28" s="121"/>
      <c r="B28" s="23"/>
      <c r="C28" s="59" t="s">
        <v>26</v>
      </c>
      <c r="D28" s="66">
        <v>6</v>
      </c>
      <c r="E28" s="36"/>
      <c r="F28" s="480"/>
      <c r="G28" s="485"/>
      <c r="H28" s="638" t="s">
        <v>44</v>
      </c>
      <c r="I28" s="639"/>
      <c r="J28" s="639"/>
      <c r="K28" s="639"/>
      <c r="L28" s="639"/>
      <c r="M28" s="640"/>
      <c r="N28" s="25"/>
      <c r="O28" s="195"/>
    </row>
    <row r="29" spans="1:17" ht="15.95" customHeight="1" x14ac:dyDescent="0.25">
      <c r="A29" s="121"/>
      <c r="B29" s="23"/>
      <c r="C29" s="59" t="s">
        <v>19</v>
      </c>
      <c r="D29" s="67" t="s">
        <v>20</v>
      </c>
      <c r="E29" s="43"/>
      <c r="F29" s="480"/>
      <c r="G29" s="485"/>
      <c r="H29" s="23"/>
      <c r="I29" s="24"/>
      <c r="J29" s="24"/>
      <c r="K29" s="24"/>
      <c r="L29" s="24"/>
      <c r="M29" s="25"/>
      <c r="N29" s="25"/>
      <c r="O29" s="195"/>
    </row>
    <row r="30" spans="1:17" ht="15.95" customHeight="1" x14ac:dyDescent="0.25">
      <c r="A30" s="121"/>
      <c r="B30" s="23"/>
      <c r="C30" s="59" t="s">
        <v>14</v>
      </c>
      <c r="D30" s="68">
        <v>3.4000000000000002E-2</v>
      </c>
      <c r="E30" s="43"/>
      <c r="F30" s="480"/>
      <c r="G30" s="485"/>
      <c r="H30" s="23"/>
      <c r="I30" s="24"/>
      <c r="J30" s="24"/>
      <c r="K30" s="24"/>
      <c r="L30" s="24"/>
      <c r="M30" s="25"/>
      <c r="N30" s="25"/>
      <c r="O30" s="195"/>
    </row>
    <row r="31" spans="1:17" ht="15.95" customHeight="1" x14ac:dyDescent="0.25">
      <c r="A31" s="121"/>
      <c r="B31" s="23"/>
      <c r="C31" s="59" t="s">
        <v>31</v>
      </c>
      <c r="D31" s="68"/>
      <c r="E31" s="43"/>
      <c r="F31" s="480"/>
      <c r="G31" s="485"/>
      <c r="H31" s="96"/>
      <c r="I31" s="35"/>
      <c r="J31" s="24"/>
      <c r="K31" s="24"/>
      <c r="L31" s="24"/>
      <c r="M31" s="25"/>
      <c r="N31" s="25"/>
      <c r="O31" s="195"/>
    </row>
    <row r="32" spans="1:17" ht="15.95" customHeight="1" x14ac:dyDescent="0.25">
      <c r="A32" s="121"/>
      <c r="B32" s="23"/>
      <c r="C32" s="59" t="s">
        <v>32</v>
      </c>
      <c r="D32" s="68"/>
      <c r="E32" s="44"/>
      <c r="F32" s="480"/>
      <c r="G32" s="485"/>
      <c r="H32" s="23"/>
      <c r="I32" s="24"/>
      <c r="J32" s="24"/>
      <c r="K32" s="24"/>
      <c r="L32" s="24"/>
      <c r="M32" s="25"/>
      <c r="N32" s="25"/>
      <c r="O32" s="195"/>
    </row>
    <row r="33" spans="1:15" ht="15.95" customHeight="1" x14ac:dyDescent="0.25">
      <c r="A33" s="121"/>
      <c r="B33" s="23"/>
      <c r="C33" s="59" t="s">
        <v>64</v>
      </c>
      <c r="D33" s="69">
        <v>0.25</v>
      </c>
      <c r="E33" s="24"/>
      <c r="F33" s="480"/>
      <c r="G33" s="485"/>
      <c r="H33" s="23"/>
      <c r="I33" s="24"/>
      <c r="J33" s="24"/>
      <c r="K33" s="24"/>
      <c r="L33" s="24"/>
      <c r="M33" s="25"/>
      <c r="N33" s="25"/>
      <c r="O33" s="195"/>
    </row>
    <row r="34" spans="1:15" ht="15.95" customHeight="1" x14ac:dyDescent="0.25">
      <c r="A34" s="121"/>
      <c r="B34" s="23"/>
      <c r="C34" s="63"/>
      <c r="D34" s="64"/>
      <c r="E34" s="24"/>
      <c r="F34" s="480"/>
      <c r="G34" s="485"/>
      <c r="H34" s="23"/>
      <c r="I34" s="24"/>
      <c r="J34" s="24"/>
      <c r="K34" s="24"/>
      <c r="L34" s="24"/>
      <c r="M34" s="25"/>
      <c r="N34" s="25"/>
      <c r="O34" s="195"/>
    </row>
    <row r="35" spans="1:15" ht="15.95" customHeight="1" x14ac:dyDescent="0.25">
      <c r="A35" s="121"/>
      <c r="B35" s="23"/>
      <c r="C35" s="24"/>
      <c r="D35" s="24"/>
      <c r="E35" s="24"/>
      <c r="F35" s="480"/>
      <c r="G35" s="485"/>
      <c r="H35" s="23"/>
      <c r="I35" s="24"/>
      <c r="J35" s="24"/>
      <c r="K35" s="24"/>
      <c r="L35" s="24"/>
      <c r="M35" s="25"/>
      <c r="N35" s="25"/>
      <c r="O35" s="195"/>
    </row>
    <row r="36" spans="1:15" ht="15.95" customHeight="1" x14ac:dyDescent="0.25">
      <c r="A36" s="121"/>
      <c r="B36" s="23"/>
      <c r="C36" s="24"/>
      <c r="D36" s="24"/>
      <c r="E36" s="24"/>
      <c r="F36" s="480"/>
      <c r="G36" s="485"/>
      <c r="H36" s="23"/>
      <c r="I36" s="24"/>
      <c r="J36" s="24"/>
      <c r="K36" s="24"/>
      <c r="L36" s="24"/>
      <c r="M36" s="25"/>
      <c r="N36" s="25"/>
      <c r="O36" s="195"/>
    </row>
    <row r="37" spans="1:15" ht="15.95" customHeight="1" x14ac:dyDescent="0.25">
      <c r="A37" s="121"/>
      <c r="B37" s="23"/>
      <c r="C37" s="24"/>
      <c r="D37" s="24"/>
      <c r="E37" s="24"/>
      <c r="F37" s="480"/>
      <c r="G37" s="485"/>
      <c r="H37" s="23"/>
      <c r="I37" s="24"/>
      <c r="J37" s="24"/>
      <c r="K37" s="24"/>
      <c r="L37" s="24"/>
      <c r="M37" s="25"/>
      <c r="N37" s="25"/>
      <c r="O37" s="195"/>
    </row>
    <row r="38" spans="1:15" ht="15.95" customHeight="1" x14ac:dyDescent="0.25">
      <c r="A38" s="121"/>
      <c r="B38" s="23"/>
      <c r="C38" s="24"/>
      <c r="D38" s="24"/>
      <c r="E38" s="24"/>
      <c r="F38" s="480"/>
      <c r="G38" s="485"/>
      <c r="H38" s="23"/>
      <c r="I38" s="24"/>
      <c r="J38" s="24"/>
      <c r="K38" s="24"/>
      <c r="L38" s="24"/>
      <c r="M38" s="25"/>
      <c r="N38" s="25"/>
      <c r="O38" s="195"/>
    </row>
    <row r="39" spans="1:15" ht="15.95" customHeight="1" x14ac:dyDescent="0.25">
      <c r="A39" s="121"/>
      <c r="B39" s="23"/>
      <c r="C39" s="24"/>
      <c r="D39" s="24"/>
      <c r="E39" s="24"/>
      <c r="F39" s="480"/>
      <c r="G39" s="485"/>
      <c r="H39" s="23"/>
      <c r="I39" s="24"/>
      <c r="J39" s="24"/>
      <c r="K39" s="24"/>
      <c r="L39" s="24"/>
      <c r="M39" s="25"/>
      <c r="N39" s="25"/>
      <c r="O39" s="195"/>
    </row>
    <row r="40" spans="1:15" ht="15.95" customHeight="1" x14ac:dyDescent="0.25">
      <c r="A40" s="121"/>
      <c r="B40" s="23"/>
      <c r="C40" s="24"/>
      <c r="D40" s="24"/>
      <c r="E40" s="24"/>
      <c r="F40" s="480"/>
      <c r="G40" s="485"/>
      <c r="H40" s="26"/>
      <c r="I40" s="27"/>
      <c r="J40" s="27"/>
      <c r="K40" s="27"/>
      <c r="L40" s="27"/>
      <c r="M40" s="28"/>
      <c r="N40" s="25"/>
      <c r="O40" s="195"/>
    </row>
    <row r="41" spans="1:15" ht="15.95" customHeight="1" x14ac:dyDescent="0.25">
      <c r="A41" s="121"/>
      <c r="B41" s="26"/>
      <c r="C41" s="27"/>
      <c r="D41" s="27"/>
      <c r="E41" s="27"/>
      <c r="F41" s="481"/>
      <c r="G41" s="486"/>
      <c r="H41" s="27"/>
      <c r="I41" s="27"/>
      <c r="J41" s="27"/>
      <c r="K41" s="27"/>
      <c r="L41" s="27"/>
      <c r="M41" s="27"/>
      <c r="N41" s="28"/>
      <c r="O41" s="195"/>
    </row>
    <row r="42" spans="1:15" ht="15.95" customHeight="1" x14ac:dyDescent="0.25">
      <c r="A42" s="121"/>
      <c r="B42" s="19"/>
      <c r="C42" s="84"/>
      <c r="D42" s="20"/>
      <c r="E42" s="20"/>
      <c r="F42" s="487"/>
      <c r="G42" s="487"/>
      <c r="H42" s="38"/>
      <c r="I42" s="38"/>
      <c r="J42" s="20"/>
      <c r="K42" s="20"/>
      <c r="L42" s="20"/>
      <c r="M42" s="20"/>
      <c r="N42" s="21"/>
      <c r="O42" s="195"/>
    </row>
    <row r="43" spans="1:15" ht="20.100000000000001" customHeight="1" x14ac:dyDescent="0.25">
      <c r="A43" s="121"/>
      <c r="B43" s="661" t="s">
        <v>15</v>
      </c>
      <c r="C43" s="662"/>
      <c r="D43" s="662"/>
      <c r="E43" s="662"/>
      <c r="F43" s="662"/>
      <c r="G43" s="662"/>
      <c r="H43" s="662"/>
      <c r="I43" s="662"/>
      <c r="J43" s="662"/>
      <c r="K43" s="662"/>
      <c r="L43" s="662"/>
      <c r="M43" s="662"/>
      <c r="N43" s="663"/>
      <c r="O43" s="195"/>
    </row>
    <row r="44" spans="1:15" ht="15.95" customHeight="1" x14ac:dyDescent="0.25">
      <c r="A44" s="121"/>
      <c r="B44" s="23"/>
      <c r="C44" s="24"/>
      <c r="D44" s="24"/>
      <c r="E44" s="24"/>
      <c r="F44" s="483"/>
      <c r="G44" s="484"/>
      <c r="H44" s="31"/>
      <c r="I44" s="31"/>
      <c r="J44" s="24"/>
      <c r="K44" s="24"/>
      <c r="L44" s="24"/>
      <c r="M44" s="24"/>
      <c r="N44" s="25"/>
      <c r="O44" s="195"/>
    </row>
    <row r="45" spans="1:15" ht="15.95" customHeight="1" x14ac:dyDescent="0.25">
      <c r="A45" s="121"/>
      <c r="B45" s="23"/>
      <c r="C45" s="638" t="s">
        <v>37</v>
      </c>
      <c r="D45" s="639"/>
      <c r="E45" s="640"/>
      <c r="F45" s="483"/>
      <c r="G45" s="484"/>
      <c r="H45" s="641" t="s">
        <v>28</v>
      </c>
      <c r="I45" s="642"/>
      <c r="J45" s="39">
        <f>+$D$63-SUMIF($H$51:$H$59,"&lt;"&amp;$M$4,$K$51:$K$59)</f>
        <v>0</v>
      </c>
      <c r="K45" s="24"/>
      <c r="L45" s="24"/>
      <c r="M45" s="24"/>
      <c r="N45" s="25"/>
      <c r="O45" s="194" t="str">
        <f>+D49</f>
        <v>ON Pyme CNV Garantizada</v>
      </c>
    </row>
    <row r="46" spans="1:15" ht="15.95" customHeight="1" x14ac:dyDescent="0.25">
      <c r="A46" s="121"/>
      <c r="B46" s="23"/>
      <c r="C46" s="58"/>
      <c r="D46" s="664"/>
      <c r="E46" s="665"/>
      <c r="F46" s="483"/>
      <c r="G46" s="484"/>
      <c r="H46" s="645" t="s">
        <v>29</v>
      </c>
      <c r="I46" s="646"/>
      <c r="J46" s="40">
        <f>+$D$62</f>
        <v>44478</v>
      </c>
      <c r="K46" s="24"/>
      <c r="L46" s="24"/>
      <c r="M46" s="24"/>
      <c r="N46" s="25"/>
      <c r="O46" s="195"/>
    </row>
    <row r="47" spans="1:15" ht="15.95" customHeight="1" x14ac:dyDescent="0.25">
      <c r="A47" s="121"/>
      <c r="B47" s="23"/>
      <c r="C47" s="59" t="s">
        <v>25</v>
      </c>
      <c r="D47" s="658"/>
      <c r="E47" s="659"/>
      <c r="F47" s="483"/>
      <c r="G47" s="484"/>
      <c r="H47" s="649" t="s">
        <v>30</v>
      </c>
      <c r="I47" s="650"/>
      <c r="J47" s="42" t="str">
        <f t="array" ref="J47">+IF($H$58&gt;=$M$4,MIN(IF($H$51:$H$59&gt;$M$4,$H$51:$H$59,"")),"vencida")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58" t="s">
        <v>16</v>
      </c>
      <c r="E48" s="659"/>
      <c r="F48" s="483"/>
      <c r="G48" s="484"/>
      <c r="H48" s="24"/>
      <c r="I48" s="24"/>
      <c r="J48" s="24"/>
      <c r="K48" s="24"/>
      <c r="L48" s="24"/>
      <c r="M48" s="24"/>
      <c r="N48" s="25"/>
      <c r="O48" s="195"/>
    </row>
    <row r="49" spans="1:17" ht="15.95" customHeight="1" x14ac:dyDescent="0.25">
      <c r="A49" s="121"/>
      <c r="B49" s="23"/>
      <c r="C49" s="59" t="s">
        <v>8</v>
      </c>
      <c r="D49" s="658" t="s">
        <v>17</v>
      </c>
      <c r="E49" s="659"/>
      <c r="F49" s="483"/>
      <c r="G49" s="484"/>
      <c r="H49" s="651" t="s">
        <v>41</v>
      </c>
      <c r="I49" s="652"/>
      <c r="J49" s="652"/>
      <c r="K49" s="652"/>
      <c r="L49" s="653"/>
      <c r="M49" s="24"/>
      <c r="N49" s="25"/>
      <c r="O49" s="195"/>
    </row>
    <row r="50" spans="1:17" ht="15.95" customHeight="1" x14ac:dyDescent="0.25">
      <c r="A50" s="121"/>
      <c r="B50" s="23"/>
      <c r="C50" s="59" t="s">
        <v>33</v>
      </c>
      <c r="D50" s="73" t="s">
        <v>309</v>
      </c>
      <c r="E50" s="273">
        <v>1</v>
      </c>
      <c r="F50" s="483">
        <f>+E50*J45</f>
        <v>0</v>
      </c>
      <c r="G50" s="484"/>
      <c r="H50" s="81" t="s">
        <v>0</v>
      </c>
      <c r="I50" s="82" t="s">
        <v>2</v>
      </c>
      <c r="J50" s="82" t="s">
        <v>3</v>
      </c>
      <c r="K50" s="82" t="s">
        <v>4</v>
      </c>
      <c r="L50" s="83" t="s">
        <v>5</v>
      </c>
      <c r="M50" s="82" t="s">
        <v>44</v>
      </c>
      <c r="N50" s="25"/>
      <c r="O50" s="195"/>
    </row>
    <row r="51" spans="1:17" ht="15.95" customHeight="1" x14ac:dyDescent="0.25">
      <c r="A51" s="121"/>
      <c r="B51" s="23"/>
      <c r="C51" s="59" t="s">
        <v>34</v>
      </c>
      <c r="D51" s="658" t="s">
        <v>48</v>
      </c>
      <c r="E51" s="659"/>
      <c r="F51" s="483"/>
      <c r="G51" s="484"/>
      <c r="H51" s="45"/>
      <c r="I51" s="46"/>
      <c r="J51" s="46"/>
      <c r="K51" s="46"/>
      <c r="L51" s="47"/>
      <c r="M51" s="23"/>
      <c r="N51" s="25"/>
      <c r="O51" s="195"/>
    </row>
    <row r="52" spans="1:17" ht="15.95" customHeight="1" x14ac:dyDescent="0.25">
      <c r="A52" s="121"/>
      <c r="B52" s="23"/>
      <c r="C52" s="79" t="s">
        <v>38</v>
      </c>
      <c r="D52" s="75"/>
      <c r="E52" s="76"/>
      <c r="F52" s="483"/>
      <c r="G52" s="484"/>
      <c r="H52" s="48">
        <f>+$D$61</f>
        <v>43382</v>
      </c>
      <c r="I52" s="70"/>
      <c r="J52" s="49"/>
      <c r="K52" s="49"/>
      <c r="L52" s="50">
        <f>+D63</f>
        <v>5900000</v>
      </c>
      <c r="M52" s="93">
        <f>-L52</f>
        <v>-5900000</v>
      </c>
      <c r="N52" s="25"/>
      <c r="O52" s="197">
        <f>+M52</f>
        <v>-5900000</v>
      </c>
      <c r="P52" s="197">
        <f>-M52</f>
        <v>5900000</v>
      </c>
      <c r="Q52" s="197"/>
    </row>
    <row r="53" spans="1:17" ht="15.95" customHeight="1" x14ac:dyDescent="0.25">
      <c r="A53" s="121"/>
      <c r="B53" s="23"/>
      <c r="C53" s="59"/>
      <c r="D53" s="73"/>
      <c r="E53" s="74"/>
      <c r="F53" s="483"/>
      <c r="G53" s="484"/>
      <c r="H53" s="51">
        <f>IF(DAY(H52)=DAY($H$52),IF(WEEKDAY(EDATE(H52,$D$64),3)&lt;5,EDATE(H52,$D$64),WORKDAY(EDATE(H52,$D$64),1)),IF(WEEKDAY(EDATE($H$52,$D$64*COUNT($H$52:H52)),3)&lt;5,EDATE($H$52,$D$64*COUNT($H$52:H52)),WORKDAY(EDATE($H$52,$D$64*COUNT($H$52:H52)),1)))</f>
        <v>43564</v>
      </c>
      <c r="I53" s="71" t="s">
        <v>7</v>
      </c>
      <c r="J53" s="52">
        <f>(IF(AND($D$67&lt;&gt;"",$D$67&gt;(AVERAGE(VLOOKUP(WORKDAY.INTL(H53,-7,1,),'Tasas-TC'!A:B,2,FALSE),VLOOKUP(WORKDAY.INTL(H52,-7,1,),'Tasas-TC'!A:B,2,FALSE))+$D$66)),$D$67,IF(AND($D$68&lt;&gt;"",$D$68&lt;(AVERAGE(VLOOKUP(WORKDAY.INTL(H53,-7,1,),'Tasas-TC'!A:B,2,FALSE),VLOOKUP(WORKDAY.INTL(H52,-7,1,),'Tasas-TC'!A:B,2,FALSE))+$D$66)),$D$68,(AVERAGE(VLOOKUP(WORKDAY.INTL(H53,-7,1,),'Tasas-TC'!A:B,2,FALSE),VLOOKUP(WORKDAY.INTL(H52,-7,1,),'Tasas-TC'!A:B,2,FALSE))+$D$66)))/360)*(H53-H52)*L52</f>
        <v>1565958.3333333333</v>
      </c>
      <c r="K53" s="52">
        <f>+IF(OR(I53="A + C",I53="A"),$L$52*$D$69,0)</f>
        <v>0</v>
      </c>
      <c r="L53" s="53">
        <f t="shared" ref="L53:L58" si="6">+L52-K53</f>
        <v>5900000</v>
      </c>
      <c r="M53" s="94">
        <f t="shared" ref="M53:M58" si="7">+J53+K53</f>
        <v>1565958.3333333333</v>
      </c>
      <c r="N53" s="25"/>
      <c r="O53" s="197">
        <f t="shared" ref="O53:O58" si="8">+M53+O52</f>
        <v>-4334041.666666667</v>
      </c>
      <c r="P53" s="197">
        <f>+(M53/(1+$J$62)^((H53-$H$52)/365))/$P$52</f>
        <v>0.26541666666666663</v>
      </c>
      <c r="Q53" s="197">
        <f>+P53*((H53-$H$52)/365)</f>
        <v>0.13234474885844746</v>
      </c>
    </row>
    <row r="54" spans="1:17" ht="15.95" customHeight="1" x14ac:dyDescent="0.25">
      <c r="A54" s="121"/>
      <c r="B54" s="23"/>
      <c r="C54" s="60"/>
      <c r="D54" s="77"/>
      <c r="E54" s="78"/>
      <c r="F54" s="483"/>
      <c r="G54" s="484"/>
      <c r="H54" s="51">
        <f>IF(DAY(H53)=DAY($H$52),IF(WEEKDAY(EDATE(H53,$D$64),3)&lt;5,EDATE(H53,$D$64),WORKDAY(EDATE(H53,$D$64),1)),IF(WEEKDAY(EDATE($H$52,$D$64*COUNT($H$52:H53)),3)&lt;5,EDATE($H$52,$D$64*COUNT($H$52:H53)),WORKDAY(EDATE($H$52,$D$64*COUNT($H$52:H53)),1)))</f>
        <v>43747</v>
      </c>
      <c r="I54" s="71" t="s">
        <v>13</v>
      </c>
      <c r="J54" s="52">
        <f>(IF(AND($D$67&lt;&gt;"",$D$67&gt;(AVERAGE(VLOOKUP(WORKDAY.INTL(H54,-7,1,),'Tasas-TC'!A:B,2,FALSE),VLOOKUP(WORKDAY.INTL(H53,-7,1,),'Tasas-TC'!A:B,2,FALSE))+$D$66)),$D$67,IF(AND($D$68&lt;&gt;"",$D$68&lt;(AVERAGE(VLOOKUP(WORKDAY.INTL(H54,-7,1,),'Tasas-TC'!A:B,2,FALSE),VLOOKUP(WORKDAY.INTL(H53,-7,1,),'Tasas-TC'!A:B,2,FALSE))+$D$66)),$D$68,(AVERAGE(VLOOKUP(WORKDAY.INTL(H54,-7,1,),'Tasas-TC'!A:B,2,FALSE),VLOOKUP(WORKDAY.INTL(H53,-7,1,),'Tasas-TC'!A:B,2,FALSE))+$D$66)))/360)*(H54-H53)*L53</f>
        <v>1807935.15625</v>
      </c>
      <c r="K54" s="52">
        <f>+IF(OR(I54="A + C",I54="A"),$D$63*$D$69,0)</f>
        <v>1180000</v>
      </c>
      <c r="L54" s="53">
        <f t="shared" si="6"/>
        <v>4720000</v>
      </c>
      <c r="M54" s="94">
        <f t="shared" si="7"/>
        <v>2987935.15625</v>
      </c>
      <c r="N54" s="25"/>
      <c r="O54" s="197">
        <f t="shared" si="8"/>
        <v>-1346106.510416667</v>
      </c>
      <c r="P54" s="197">
        <f t="shared" ref="P54:P58" si="9">+(M54/(1+$J$62)^((H54-$H$52)/365))/$P$52</f>
        <v>0.50642968749999995</v>
      </c>
      <c r="Q54" s="197">
        <f t="shared" ref="Q54:Q58" si="10">+P54*((H54-$H$52)/365)</f>
        <v>0.50642968749999995</v>
      </c>
    </row>
    <row r="55" spans="1:17" ht="15.95" customHeight="1" x14ac:dyDescent="0.25">
      <c r="A55" s="121"/>
      <c r="B55" s="23"/>
      <c r="C55" s="60"/>
      <c r="D55" s="55" t="str">
        <f>+B43</f>
        <v>Agro Ganadera Vidoret I</v>
      </c>
      <c r="E55" s="64"/>
      <c r="F55" s="483"/>
      <c r="G55" s="484">
        <f>+J45</f>
        <v>0</v>
      </c>
      <c r="H55" s="51">
        <f>IF(DAY(H54)=DAY($H$52),IF(WEEKDAY(EDATE(H54,$D$64),3)&lt;5,EDATE(H54,$D$64),WORKDAY(EDATE(H54,$D$64),1)),IF(WEEKDAY(EDATE($H$52,$D$64*COUNT($H$52:H54)),3)&lt;5,EDATE($H$52,$D$64*COUNT($H$52:H54)),WORKDAY(EDATE($H$52,$D$64*COUNT($H$52:H54)),1)))</f>
        <v>43930</v>
      </c>
      <c r="I55" s="71" t="s">
        <v>13</v>
      </c>
      <c r="J55" s="52">
        <f>(IF(AND($D$67&lt;&gt;"",$D$67&gt;(AVERAGE(VLOOKUP(WORKDAY.INTL(H55,-7,1,),'Tasas-TC'!A:B,2,FALSE),VLOOKUP(WORKDAY.INTL(H54,-7,1,),'Tasas-TC'!A:B,2,FALSE))+$D$66)),$D$67,IF(AND($D$68&lt;&gt;"",$D$68&lt;(AVERAGE(VLOOKUP(WORKDAY.INTL(H55,-7,1,),'Tasas-TC'!A:B,2,FALSE),VLOOKUP(WORKDAY.INTL(H54,-7,1,),'Tasas-TC'!A:B,2,FALSE))+$D$66)),$D$68,(AVERAGE(VLOOKUP(WORKDAY.INTL(H55,-7,1,),'Tasas-TC'!A:B,2,FALSE),VLOOKUP(WORKDAY.INTL(H54,-7,1,),'Tasas-TC'!A:B,2,FALSE))+$D$66)))/360)*(H55-H54)*L54</f>
        <v>1222160.4166666665</v>
      </c>
      <c r="K55" s="52">
        <f>+IF(OR(I55="A + C",I55="A"),$D$63*$D$69,0)</f>
        <v>1180000</v>
      </c>
      <c r="L55" s="53">
        <f t="shared" si="6"/>
        <v>3540000</v>
      </c>
      <c r="M55" s="94">
        <f t="shared" si="7"/>
        <v>2402160.4166666665</v>
      </c>
      <c r="N55" s="25"/>
      <c r="O55" s="197">
        <f t="shared" si="8"/>
        <v>1056053.9062499995</v>
      </c>
      <c r="P55" s="197">
        <f t="shared" si="9"/>
        <v>0.40714583333333332</v>
      </c>
      <c r="Q55" s="197">
        <f t="shared" si="10"/>
        <v>0.61127648401826484</v>
      </c>
    </row>
    <row r="56" spans="1:17" ht="15.95" customHeight="1" x14ac:dyDescent="0.25">
      <c r="A56" s="121"/>
      <c r="B56" s="32"/>
      <c r="D56" s="644"/>
      <c r="E56" s="660"/>
      <c r="F56" s="483"/>
      <c r="G56" s="484"/>
      <c r="H56" s="51">
        <f>IF(DAY(H55)=DAY($H$52),IF(WEEKDAY(EDATE(H55,$D$64),3)&lt;5,EDATE(H55,$D$64),WORKDAY(EDATE(H55,$D$64),1)),IF(WEEKDAY(EDATE($H$52,$D$64*COUNT($H$52:H55)),3)&lt;5,EDATE($H$52,$D$64*COUNT($H$52:H55)),WORKDAY(EDATE($H$52,$D$64*COUNT($H$52:H55)),1)))</f>
        <v>44113</v>
      </c>
      <c r="I56" s="71" t="s">
        <v>13</v>
      </c>
      <c r="J56" s="52">
        <f>(IF(AND($D$67&lt;&gt;"",$D$67&gt;(AVERAGE(VLOOKUP(WORKDAY.INTL(H56,-7,1,),'Tasas-TC'!A:B,2,FALSE),VLOOKUP(WORKDAY.INTL(H55,-7,1,),'Tasas-TC'!A:B,2,FALSE))+$D$66)),$D$67,IF(AND($D$68&lt;&gt;"",$D$68&lt;(AVERAGE(VLOOKUP(WORKDAY.INTL(H56,-7,1,),'Tasas-TC'!A:B,2,FALSE),VLOOKUP(WORKDAY.INTL(H55,-7,1,),'Tasas-TC'!A:B,2,FALSE))+$D$66)),$D$68,(AVERAGE(VLOOKUP(WORKDAY.INTL(H56,-7,1,),'Tasas-TC'!A:B,2,FALSE),VLOOKUP(WORKDAY.INTL(H55,-7,1,),'Tasas-TC'!A:B,2,FALSE))+$D$66)))/360)*(H56-H55)*L55</f>
        <v>654005.78125000012</v>
      </c>
      <c r="K56" s="52">
        <f>+IF(OR(I56="A + C",I56="A"),$D$63*$D$69,0)</f>
        <v>1180000</v>
      </c>
      <c r="L56" s="53">
        <f t="shared" si="6"/>
        <v>2360000</v>
      </c>
      <c r="M56" s="94">
        <f t="shared" si="7"/>
        <v>1834005.78125</v>
      </c>
      <c r="N56" s="25"/>
      <c r="O56" s="197">
        <f t="shared" si="8"/>
        <v>2890059.6874999995</v>
      </c>
      <c r="P56" s="197">
        <f t="shared" si="9"/>
        <v>0.31084843750000002</v>
      </c>
      <c r="Q56" s="197">
        <f t="shared" si="10"/>
        <v>0.62254851455479454</v>
      </c>
    </row>
    <row r="57" spans="1:17" ht="15.95" customHeight="1" x14ac:dyDescent="0.25">
      <c r="A57" s="121"/>
      <c r="B57" s="23"/>
      <c r="C57" s="638" t="s">
        <v>36</v>
      </c>
      <c r="D57" s="640"/>
      <c r="E57" s="36"/>
      <c r="F57" s="483"/>
      <c r="G57" s="484"/>
      <c r="H57" s="51">
        <f>IF(DAY(H56)=DAY($H$52),IF(WEEKDAY(EDATE(H56,$D$64),3)&lt;5,EDATE(H56,$D$64),WORKDAY(EDATE(H56,$D$64),1)),IF(WEEKDAY(EDATE($H$52,$D$64*COUNT($H$52:H56)),3)&lt;5,EDATE($H$52,$D$64*COUNT($H$52:H56)),WORKDAY(EDATE($H$52,$D$64*COUNT($H$52:H56)),1)))</f>
        <v>44295</v>
      </c>
      <c r="I57" s="71" t="s">
        <v>13</v>
      </c>
      <c r="J57" s="52">
        <f>(IF(AND($D$67&lt;&gt;"",$D$67&gt;(AVERAGE(VLOOKUP(WORKDAY.INTL(H57,-7,1,),'Tasas-TC'!A:B,2,FALSE),VLOOKUP(WORKDAY.INTL(H56,-7,1,),'Tasas-TC'!A:B,2,FALSE))+$D$66)),$D$67,IF(AND($D$68&lt;&gt;"",$D$68&lt;(AVERAGE(VLOOKUP(WORKDAY.INTL(H57,-7,1,),'Tasas-TC'!A:B,2,FALSE),VLOOKUP(WORKDAY.INTL(H56,-7,1,),'Tasas-TC'!A:B,2,FALSE))+$D$66)),$D$68,(AVERAGE(VLOOKUP(WORKDAY.INTL(H57,-7,1,),'Tasas-TC'!A:B,2,FALSE),VLOOKUP(WORKDAY.INTL(H56,-7,1,),'Tasas-TC'!A:B,2,FALSE))+$D$66)))/360)*(H57-H56)*L56</f>
        <v>475753.05555555556</v>
      </c>
      <c r="K57" s="52">
        <f>+IF(OR(I57="A + C",I57="A"),$D$63*$D$69,0)</f>
        <v>1180000</v>
      </c>
      <c r="L57" s="53">
        <f>+L56-K57</f>
        <v>1180000</v>
      </c>
      <c r="M57" s="94">
        <f t="shared" si="7"/>
        <v>1655753.0555555555</v>
      </c>
      <c r="N57" s="25"/>
      <c r="O57" s="197">
        <f t="shared" si="8"/>
        <v>4545812.743055555</v>
      </c>
      <c r="P57" s="197">
        <f t="shared" si="9"/>
        <v>0.28063611111111109</v>
      </c>
      <c r="Q57" s="197">
        <f t="shared" si="10"/>
        <v>0.70197471080669704</v>
      </c>
    </row>
    <row r="58" spans="1:17" ht="15.95" customHeight="1" x14ac:dyDescent="0.25">
      <c r="A58" s="121"/>
      <c r="B58" s="23"/>
      <c r="C58" s="59"/>
      <c r="D58" s="62"/>
      <c r="E58" s="36"/>
      <c r="F58" s="483"/>
      <c r="G58" s="484"/>
      <c r="H58" s="51">
        <f>IF(DAY(H57)=DAY($H$52),IF(WEEKDAY(EDATE(H57,$D$64),3)&lt;5,EDATE(H57,$D$64),WORKDAY(EDATE(H57,$D$64),1)),IF(WEEKDAY(EDATE($H$52,$D$64*COUNT($H$52:H57)),3)&lt;5,EDATE($H$52,$D$64*COUNT($H$52:H57)),WORKDAY(EDATE($H$52,$D$64*COUNT($H$52:H57)),1)))</f>
        <v>44480</v>
      </c>
      <c r="I58" s="71" t="s">
        <v>13</v>
      </c>
      <c r="J58" s="52">
        <f>(IF(AND($D$67&lt;&gt;"",$D$67&gt;(AVERAGE(VLOOKUP(WORKDAY.INTL(H58,-7,1,),'Tasas-TC'!A:B,2,FALSE),VLOOKUP(WORKDAY.INTL(H57,-7,1,),'Tasas-TC'!A:B,2,FALSE))+$D$66)),$D$67,IF(AND($D$68&lt;&gt;"",$D$68&lt;(AVERAGE(VLOOKUP(WORKDAY.INTL(H58,-7,1,),'Tasas-TC'!A:B,2,FALSE),VLOOKUP(WORKDAY.INTL(H57,-7,1,),'Tasas-TC'!A:B,2,FALSE))+$D$66)),$D$68,(AVERAGE(VLOOKUP(WORKDAY.INTL(H58,-7,1,),'Tasas-TC'!A:B,2,FALSE),VLOOKUP(WORKDAY.INTL(H57,-7,1,),'Tasas-TC'!A:B,2,FALSE))+$D$66)))/360)*(H58-H57)*L57</f>
        <v>255441.31944444444</v>
      </c>
      <c r="K58" s="52">
        <f>+IF(OR(I58="A + C",I58="A"),$D$63*$D$69,0)</f>
        <v>1180000</v>
      </c>
      <c r="L58" s="53">
        <f t="shared" si="6"/>
        <v>0</v>
      </c>
      <c r="M58" s="94">
        <f t="shared" si="7"/>
        <v>1435441.3194444445</v>
      </c>
      <c r="N58" s="25"/>
      <c r="O58" s="197">
        <f t="shared" si="8"/>
        <v>5981254.0625</v>
      </c>
      <c r="P58" s="197">
        <f t="shared" si="9"/>
        <v>0.2432951388888889</v>
      </c>
      <c r="Q58" s="197">
        <f t="shared" si="10"/>
        <v>0.73188510273972607</v>
      </c>
    </row>
    <row r="59" spans="1:17" ht="15.95" customHeight="1" x14ac:dyDescent="0.25">
      <c r="A59" s="121"/>
      <c r="B59" s="23"/>
      <c r="C59" s="59" t="s">
        <v>9</v>
      </c>
      <c r="D59" s="98" t="s">
        <v>18</v>
      </c>
      <c r="E59" s="36"/>
      <c r="F59" s="483"/>
      <c r="G59" s="484"/>
      <c r="H59" s="54"/>
      <c r="I59" s="61"/>
      <c r="J59" s="55"/>
      <c r="K59" s="56"/>
      <c r="L59" s="57"/>
      <c r="M59" s="95"/>
      <c r="N59" s="25"/>
      <c r="O59" s="195"/>
      <c r="P59" s="29"/>
    </row>
    <row r="60" spans="1:17" ht="15.95" customHeight="1" x14ac:dyDescent="0.25">
      <c r="A60" s="121"/>
      <c r="B60" s="23"/>
      <c r="C60" s="59" t="s">
        <v>10</v>
      </c>
      <c r="D60" s="65">
        <v>43377</v>
      </c>
      <c r="E60" s="36"/>
      <c r="F60" s="483"/>
      <c r="G60" s="484"/>
      <c r="H60" s="24"/>
      <c r="I60" s="24"/>
      <c r="J60" s="24"/>
      <c r="K60" s="24"/>
      <c r="L60" s="24"/>
      <c r="M60" s="24"/>
      <c r="N60" s="25"/>
      <c r="O60" s="195"/>
      <c r="P60" s="29"/>
    </row>
    <row r="61" spans="1:17" ht="15.95" customHeight="1" x14ac:dyDescent="0.25">
      <c r="A61" s="121"/>
      <c r="B61" s="23"/>
      <c r="C61" s="59" t="s">
        <v>11</v>
      </c>
      <c r="D61" s="65">
        <v>43382</v>
      </c>
      <c r="E61" s="36"/>
      <c r="F61" s="483"/>
      <c r="G61" s="484"/>
      <c r="H61" s="656" t="s">
        <v>43</v>
      </c>
      <c r="I61" s="656"/>
      <c r="J61" s="92">
        <v>0</v>
      </c>
      <c r="K61" s="92"/>
      <c r="L61" s="24"/>
      <c r="M61" s="24"/>
      <c r="N61" s="25"/>
      <c r="O61" s="195"/>
      <c r="P61" s="29"/>
    </row>
    <row r="62" spans="1:17" ht="15.95" customHeight="1" x14ac:dyDescent="0.25">
      <c r="A62" s="121"/>
      <c r="B62" s="23"/>
      <c r="C62" s="59" t="s">
        <v>12</v>
      </c>
      <c r="D62" s="65">
        <v>44478</v>
      </c>
      <c r="E62" s="36"/>
      <c r="F62" s="483"/>
      <c r="G62" s="484"/>
      <c r="H62" s="657"/>
      <c r="I62" s="657"/>
      <c r="J62" s="392"/>
      <c r="K62" s="24"/>
      <c r="L62" s="33"/>
      <c r="M62" s="33"/>
      <c r="N62" s="25"/>
      <c r="O62" s="195"/>
    </row>
    <row r="63" spans="1:17" ht="15.95" customHeight="1" x14ac:dyDescent="0.25">
      <c r="A63" s="121"/>
      <c r="B63" s="23"/>
      <c r="C63" s="59" t="s">
        <v>27</v>
      </c>
      <c r="D63" s="66">
        <v>5900000</v>
      </c>
      <c r="E63" s="41"/>
      <c r="F63" s="480"/>
      <c r="G63" s="485"/>
      <c r="H63" s="24"/>
      <c r="I63" s="24"/>
      <c r="J63" s="24"/>
      <c r="K63" s="24"/>
      <c r="L63" s="24"/>
      <c r="M63" s="24"/>
      <c r="N63" s="25"/>
      <c r="O63" s="195"/>
      <c r="P63" s="37"/>
    </row>
    <row r="64" spans="1:17" ht="15.95" customHeight="1" x14ac:dyDescent="0.25">
      <c r="A64" s="121"/>
      <c r="B64" s="23"/>
      <c r="C64" s="59" t="s">
        <v>26</v>
      </c>
      <c r="D64" s="66">
        <v>6</v>
      </c>
      <c r="E64" s="36"/>
      <c r="F64" s="480"/>
      <c r="G64" s="485"/>
      <c r="H64" s="638" t="s">
        <v>44</v>
      </c>
      <c r="I64" s="639"/>
      <c r="J64" s="639"/>
      <c r="K64" s="639"/>
      <c r="L64" s="639"/>
      <c r="M64" s="640"/>
      <c r="N64" s="25"/>
      <c r="O64" s="195"/>
    </row>
    <row r="65" spans="1:15" ht="15.95" customHeight="1" x14ac:dyDescent="0.25">
      <c r="A65" s="121"/>
      <c r="B65" s="23"/>
      <c r="C65" s="59" t="s">
        <v>19</v>
      </c>
      <c r="D65" s="67" t="s">
        <v>20</v>
      </c>
      <c r="E65" s="43"/>
      <c r="F65" s="480"/>
      <c r="G65" s="485"/>
      <c r="H65" s="23"/>
      <c r="I65" s="24"/>
      <c r="J65" s="24"/>
      <c r="K65" s="24"/>
      <c r="L65" s="24"/>
      <c r="M65" s="25"/>
      <c r="N65" s="25"/>
      <c r="O65" s="195"/>
    </row>
    <row r="66" spans="1:15" ht="15.95" customHeight="1" x14ac:dyDescent="0.25">
      <c r="A66" s="121"/>
      <c r="B66" s="23"/>
      <c r="C66" s="59" t="s">
        <v>14</v>
      </c>
      <c r="D66" s="68">
        <v>0.08</v>
      </c>
      <c r="E66" s="43"/>
      <c r="F66" s="480"/>
      <c r="G66" s="485"/>
      <c r="H66" s="23"/>
      <c r="I66" s="24"/>
      <c r="J66" s="24"/>
      <c r="K66" s="24"/>
      <c r="L66" s="24"/>
      <c r="M66" s="25"/>
      <c r="N66" s="25"/>
      <c r="O66" s="195"/>
    </row>
    <row r="67" spans="1:15" ht="15.95" customHeight="1" x14ac:dyDescent="0.25">
      <c r="A67" s="121"/>
      <c r="B67" s="23"/>
      <c r="C67" s="59" t="s">
        <v>31</v>
      </c>
      <c r="D67" s="68"/>
      <c r="E67" s="43"/>
      <c r="F67" s="480"/>
      <c r="G67" s="485"/>
      <c r="H67" s="96"/>
      <c r="I67" s="35"/>
      <c r="J67" s="24"/>
      <c r="K67" s="24"/>
      <c r="L67" s="24"/>
      <c r="M67" s="25"/>
      <c r="N67" s="25"/>
      <c r="O67" s="195"/>
    </row>
    <row r="68" spans="1:15" ht="15.95" customHeight="1" x14ac:dyDescent="0.25">
      <c r="A68" s="121"/>
      <c r="B68" s="23"/>
      <c r="C68" s="59" t="s">
        <v>32</v>
      </c>
      <c r="D68" s="68"/>
      <c r="E68" s="44"/>
      <c r="F68" s="480"/>
      <c r="G68" s="485"/>
      <c r="H68" s="23"/>
      <c r="I68" s="24"/>
      <c r="J68" s="24"/>
      <c r="K68" s="24"/>
      <c r="L68" s="24"/>
      <c r="M68" s="25"/>
      <c r="N68" s="25"/>
      <c r="O68" s="195"/>
    </row>
    <row r="69" spans="1:15" ht="15.95" customHeight="1" x14ac:dyDescent="0.25">
      <c r="A69" s="121"/>
      <c r="B69" s="23"/>
      <c r="C69" s="59" t="s">
        <v>42</v>
      </c>
      <c r="D69" s="69">
        <v>0.2</v>
      </c>
      <c r="E69" s="24"/>
      <c r="F69" s="480"/>
      <c r="G69" s="485"/>
      <c r="H69" s="23"/>
      <c r="I69" s="24"/>
      <c r="J69" s="24"/>
      <c r="K69" s="24"/>
      <c r="L69" s="24"/>
      <c r="M69" s="25"/>
      <c r="N69" s="25"/>
      <c r="O69" s="195"/>
    </row>
    <row r="70" spans="1:15" ht="15.95" customHeight="1" x14ac:dyDescent="0.25">
      <c r="A70" s="121"/>
      <c r="B70" s="23"/>
      <c r="C70" s="63"/>
      <c r="D70" s="64"/>
      <c r="E70" s="24"/>
      <c r="F70" s="480"/>
      <c r="G70" s="485"/>
      <c r="H70" s="23"/>
      <c r="I70" s="24"/>
      <c r="J70" s="24"/>
      <c r="K70" s="24"/>
      <c r="L70" s="24"/>
      <c r="M70" s="25"/>
      <c r="N70" s="25"/>
      <c r="O70" s="195"/>
    </row>
    <row r="71" spans="1:15" ht="15.95" customHeight="1" x14ac:dyDescent="0.25">
      <c r="A71" s="121"/>
      <c r="B71" s="23"/>
      <c r="C71" s="24"/>
      <c r="D71" s="24"/>
      <c r="E71" s="24"/>
      <c r="F71" s="480"/>
      <c r="G71" s="485"/>
      <c r="H71" s="23"/>
      <c r="I71" s="24"/>
      <c r="J71" s="24"/>
      <c r="K71" s="24"/>
      <c r="L71" s="24"/>
      <c r="M71" s="25"/>
      <c r="N71" s="25"/>
      <c r="O71" s="195"/>
    </row>
    <row r="72" spans="1:15" ht="15.95" customHeight="1" x14ac:dyDescent="0.25">
      <c r="A72" s="121"/>
      <c r="B72" s="23"/>
      <c r="C72" s="24"/>
      <c r="D72" s="24"/>
      <c r="E72" s="24"/>
      <c r="F72" s="480"/>
      <c r="G72" s="485"/>
      <c r="H72" s="23"/>
      <c r="I72" s="24"/>
      <c r="J72" s="24"/>
      <c r="K72" s="24"/>
      <c r="L72" s="24"/>
      <c r="M72" s="25"/>
      <c r="N72" s="25"/>
      <c r="O72" s="195"/>
    </row>
    <row r="73" spans="1:15" ht="15.95" customHeight="1" x14ac:dyDescent="0.25">
      <c r="A73" s="121"/>
      <c r="B73" s="23"/>
      <c r="C73" s="24"/>
      <c r="D73" s="24"/>
      <c r="E73" s="24"/>
      <c r="F73" s="480"/>
      <c r="G73" s="485"/>
      <c r="H73" s="23"/>
      <c r="I73" s="24"/>
      <c r="J73" s="24"/>
      <c r="K73" s="24"/>
      <c r="L73" s="24"/>
      <c r="M73" s="25"/>
      <c r="N73" s="25"/>
      <c r="O73" s="195"/>
    </row>
    <row r="74" spans="1:15" ht="15.95" customHeight="1" x14ac:dyDescent="0.25">
      <c r="A74" s="121"/>
      <c r="B74" s="23"/>
      <c r="C74" s="24"/>
      <c r="D74" s="24"/>
      <c r="E74" s="24"/>
      <c r="F74" s="480"/>
      <c r="G74" s="485"/>
      <c r="H74" s="23"/>
      <c r="I74" s="24"/>
      <c r="J74" s="24"/>
      <c r="K74" s="24"/>
      <c r="L74" s="24"/>
      <c r="M74" s="25"/>
      <c r="N74" s="25"/>
      <c r="O74" s="195"/>
    </row>
    <row r="75" spans="1:15" ht="15.95" customHeight="1" x14ac:dyDescent="0.25">
      <c r="A75" s="121"/>
      <c r="B75" s="23"/>
      <c r="C75" s="24"/>
      <c r="D75" s="24"/>
      <c r="E75" s="24"/>
      <c r="F75" s="480"/>
      <c r="G75" s="485"/>
      <c r="H75" s="23"/>
      <c r="I75" s="24"/>
      <c r="J75" s="24"/>
      <c r="K75" s="24"/>
      <c r="L75" s="24"/>
      <c r="M75" s="25"/>
      <c r="N75" s="25"/>
      <c r="O75" s="195"/>
    </row>
    <row r="76" spans="1:15" ht="15.95" customHeight="1" x14ac:dyDescent="0.25">
      <c r="A76" s="121"/>
      <c r="B76" s="23"/>
      <c r="C76" s="24"/>
      <c r="D76" s="24"/>
      <c r="E76" s="24"/>
      <c r="F76" s="480"/>
      <c r="G76" s="485"/>
      <c r="H76" s="26"/>
      <c r="I76" s="27"/>
      <c r="J76" s="27"/>
      <c r="K76" s="27"/>
      <c r="L76" s="27"/>
      <c r="M76" s="28"/>
      <c r="N76" s="25"/>
      <c r="O76" s="195"/>
    </row>
    <row r="77" spans="1:15" ht="15.95" customHeight="1" x14ac:dyDescent="0.25">
      <c r="A77" s="121"/>
      <c r="B77" s="23"/>
      <c r="C77" s="24"/>
      <c r="D77" s="24"/>
      <c r="E77" s="24"/>
      <c r="F77" s="480"/>
      <c r="G77" s="485"/>
      <c r="H77" s="27"/>
      <c r="I77" s="27"/>
      <c r="J77" s="27"/>
      <c r="K77" s="27"/>
      <c r="L77" s="27"/>
      <c r="M77" s="27"/>
      <c r="N77" s="25"/>
      <c r="O77" s="195"/>
    </row>
    <row r="78" spans="1:15" ht="15.95" customHeight="1" x14ac:dyDescent="0.25">
      <c r="A78" s="121"/>
      <c r="B78" s="26"/>
      <c r="C78" s="27"/>
      <c r="D78" s="27"/>
      <c r="E78" s="27"/>
      <c r="F78" s="481"/>
      <c r="G78" s="486"/>
      <c r="H78" s="27"/>
      <c r="I78" s="27"/>
      <c r="J78" s="27"/>
      <c r="K78" s="27"/>
      <c r="L78" s="27"/>
      <c r="M78" s="27"/>
      <c r="N78" s="28"/>
      <c r="O78" s="195"/>
    </row>
    <row r="79" spans="1:15" ht="20.100000000000001" customHeight="1" x14ac:dyDescent="0.25">
      <c r="A79" s="121"/>
      <c r="B79" s="661" t="s">
        <v>53</v>
      </c>
      <c r="C79" s="662"/>
      <c r="D79" s="662"/>
      <c r="E79" s="662"/>
      <c r="F79" s="662"/>
      <c r="G79" s="662"/>
      <c r="H79" s="662"/>
      <c r="I79" s="662"/>
      <c r="J79" s="662"/>
      <c r="K79" s="662"/>
      <c r="L79" s="662"/>
      <c r="M79" s="662"/>
      <c r="N79" s="663"/>
      <c r="O79" s="195"/>
    </row>
    <row r="80" spans="1:15" ht="15.95" customHeight="1" x14ac:dyDescent="0.25">
      <c r="A80" s="121"/>
      <c r="B80" s="23"/>
      <c r="C80" s="24"/>
      <c r="D80" s="24"/>
      <c r="E80" s="24"/>
      <c r="F80" s="483"/>
      <c r="G80" s="484"/>
      <c r="H80" s="31"/>
      <c r="I80" s="31"/>
      <c r="J80" s="24"/>
      <c r="K80" s="24"/>
      <c r="L80" s="24"/>
      <c r="M80" s="24"/>
      <c r="N80" s="25"/>
      <c r="O80" s="195"/>
    </row>
    <row r="81" spans="1:17" ht="15.95" customHeight="1" x14ac:dyDescent="0.25">
      <c r="A81" s="121"/>
      <c r="B81" s="23"/>
      <c r="C81" s="638" t="s">
        <v>37</v>
      </c>
      <c r="D81" s="639"/>
      <c r="E81" s="640"/>
      <c r="F81" s="483"/>
      <c r="G81" s="484"/>
      <c r="H81" s="641" t="s">
        <v>28</v>
      </c>
      <c r="I81" s="642"/>
      <c r="J81" s="39">
        <f>+$D$99-SUMIF($H$87:$H$93,"&lt;"&amp;$M$4,$K$87:$K$93)</f>
        <v>0</v>
      </c>
      <c r="K81" s="24"/>
      <c r="L81" s="24"/>
      <c r="M81" s="24"/>
      <c r="N81" s="25"/>
      <c r="O81" s="194" t="str">
        <f>+D85</f>
        <v>ON Pyme CNV Garantizada</v>
      </c>
    </row>
    <row r="82" spans="1:17" ht="15.95" customHeight="1" x14ac:dyDescent="0.25">
      <c r="A82" s="121"/>
      <c r="B82" s="23"/>
      <c r="C82" s="58"/>
      <c r="D82" s="664"/>
      <c r="E82" s="665"/>
      <c r="F82" s="483"/>
      <c r="G82" s="484"/>
      <c r="H82" s="645" t="s">
        <v>29</v>
      </c>
      <c r="I82" s="646"/>
      <c r="J82" s="40">
        <f>+$D$98</f>
        <v>44199</v>
      </c>
      <c r="K82" s="24"/>
      <c r="L82" s="24"/>
      <c r="M82" s="24"/>
      <c r="N82" s="25"/>
      <c r="O82" s="195"/>
    </row>
    <row r="83" spans="1:17" ht="15.95" customHeight="1" x14ac:dyDescent="0.25">
      <c r="A83" s="121"/>
      <c r="B83" s="23"/>
      <c r="C83" s="59" t="s">
        <v>25</v>
      </c>
      <c r="D83" s="658"/>
      <c r="E83" s="659"/>
      <c r="F83" s="483"/>
      <c r="G83" s="484"/>
      <c r="H83" s="649" t="s">
        <v>30</v>
      </c>
      <c r="I83" s="650"/>
      <c r="J83" s="42" t="str">
        <f t="array" ref="J83">+IF($H$92&gt;=$M$4,MIN(IF($H$87:$H$93&gt;$M$4,$H$87:$H$93,"")),"vencida")</f>
        <v>vencida</v>
      </c>
      <c r="K83" s="24"/>
      <c r="L83" s="24"/>
      <c r="M83" s="24"/>
      <c r="N83" s="25"/>
      <c r="O83" s="194" t="str">
        <f>+IF(J83="vencida",IF(D85='Reporte - Oscuro'!$C$40,'Reporte - Oscuro'!$C$40&amp;" vencida",IF(D85='Reporte - Oscuro'!$C$41,'Reporte - Oscuro'!$C$41&amp;" vencida",IF(D85='Reporte - Oscuro'!$C$42,'Reporte - Oscuro'!$C$42&amp;" vencida",'Reporte - Oscuro'!$C$43&amp;" vencida"))),D85&amp;" vigente")</f>
        <v>ON Pyme CNV Garantizada vencida</v>
      </c>
    </row>
    <row r="84" spans="1:17" ht="15.95" customHeight="1" x14ac:dyDescent="0.25">
      <c r="A84" s="121"/>
      <c r="B84" s="23"/>
      <c r="C84" s="59" t="s">
        <v>6</v>
      </c>
      <c r="D84" s="658" t="s">
        <v>16</v>
      </c>
      <c r="E84" s="659"/>
      <c r="F84" s="483"/>
      <c r="G84" s="484"/>
      <c r="H84" s="24"/>
      <c r="I84" s="24"/>
      <c r="J84" s="24"/>
      <c r="K84" s="24"/>
      <c r="L84" s="24"/>
      <c r="M84" s="24"/>
      <c r="N84" s="25"/>
      <c r="O84" s="195"/>
    </row>
    <row r="85" spans="1:17" ht="15.95" customHeight="1" x14ac:dyDescent="0.25">
      <c r="A85" s="121"/>
      <c r="B85" s="23"/>
      <c r="C85" s="59" t="s">
        <v>8</v>
      </c>
      <c r="D85" s="658" t="s">
        <v>17</v>
      </c>
      <c r="E85" s="659"/>
      <c r="F85" s="483"/>
      <c r="G85" s="484"/>
      <c r="H85" s="651" t="s">
        <v>41</v>
      </c>
      <c r="I85" s="652"/>
      <c r="J85" s="652"/>
      <c r="K85" s="652"/>
      <c r="L85" s="653"/>
      <c r="M85" s="24"/>
      <c r="N85" s="25"/>
      <c r="O85" s="195"/>
    </row>
    <row r="86" spans="1:17" ht="15.95" customHeight="1" x14ac:dyDescent="0.25">
      <c r="A86" s="121"/>
      <c r="B86" s="23"/>
      <c r="C86" s="59" t="s">
        <v>33</v>
      </c>
      <c r="D86" s="73" t="s">
        <v>309</v>
      </c>
      <c r="E86" s="273">
        <v>1</v>
      </c>
      <c r="F86" s="483">
        <f>+E86*J81</f>
        <v>0</v>
      </c>
      <c r="G86" s="484"/>
      <c r="H86" s="81" t="s">
        <v>0</v>
      </c>
      <c r="I86" s="82" t="s">
        <v>2</v>
      </c>
      <c r="J86" s="82" t="s">
        <v>3</v>
      </c>
      <c r="K86" s="82" t="s">
        <v>4</v>
      </c>
      <c r="L86" s="83" t="s">
        <v>5</v>
      </c>
      <c r="M86" s="82" t="s">
        <v>44</v>
      </c>
      <c r="N86" s="25"/>
      <c r="O86" s="195"/>
    </row>
    <row r="87" spans="1:17" ht="15.95" customHeight="1" x14ac:dyDescent="0.25">
      <c r="A87" s="121"/>
      <c r="B87" s="23"/>
      <c r="C87" s="59" t="s">
        <v>34</v>
      </c>
      <c r="D87" s="658" t="s">
        <v>35</v>
      </c>
      <c r="E87" s="659"/>
      <c r="F87" s="483"/>
      <c r="G87" s="484"/>
      <c r="H87" s="45"/>
      <c r="I87" s="46"/>
      <c r="J87" s="46"/>
      <c r="K87" s="46"/>
      <c r="L87" s="47"/>
      <c r="M87" s="23"/>
      <c r="N87" s="25"/>
      <c r="O87" s="195"/>
    </row>
    <row r="88" spans="1:17" ht="15.95" customHeight="1" x14ac:dyDescent="0.25">
      <c r="A88" s="121"/>
      <c r="B88" s="23"/>
      <c r="C88" s="79" t="s">
        <v>38</v>
      </c>
      <c r="D88" s="75"/>
      <c r="E88" s="76"/>
      <c r="F88" s="483"/>
      <c r="G88" s="484"/>
      <c r="H88" s="48">
        <f>+$D$97</f>
        <v>43468</v>
      </c>
      <c r="I88" s="70"/>
      <c r="J88" s="49"/>
      <c r="K88" s="49"/>
      <c r="L88" s="50">
        <f>+D99</f>
        <v>7200000</v>
      </c>
      <c r="M88" s="93">
        <f>-L88</f>
        <v>-7200000</v>
      </c>
      <c r="N88" s="25"/>
      <c r="O88" s="197">
        <f>+M88</f>
        <v>-7200000</v>
      </c>
      <c r="P88" s="197">
        <f>-M88</f>
        <v>7200000</v>
      </c>
      <c r="Q88" s="197"/>
    </row>
    <row r="89" spans="1:17" ht="15.95" customHeight="1" x14ac:dyDescent="0.25">
      <c r="A89" s="121"/>
      <c r="B89" s="23"/>
      <c r="C89" s="59"/>
      <c r="D89" s="73"/>
      <c r="E89" s="74"/>
      <c r="F89" s="483"/>
      <c r="G89" s="484"/>
      <c r="H89" s="51">
        <f>IF(DAY(H88)=DAY($H$88),IF(WEEKDAY(EDATE(H88,$D$100),3)&lt;5,EDATE(H88,$D$100),WORKDAY(EDATE(H88,$D$100),1)),IF(WEEKDAY(EDATE($H$88,$D$100*COUNT($H$88:H88)),3)&lt;5,EDATE($H$88,$D$100*COUNT($H$88:H88)),WORKDAY(EDATE($H$88,$D$100*COUNT($H$88:H88)),1)))</f>
        <v>43649</v>
      </c>
      <c r="I89" s="71" t="s">
        <v>13</v>
      </c>
      <c r="J89" s="52">
        <f>(IF(AND($D$103&lt;&gt;"",$D$103&gt;(AVERAGE(VLOOKUP(WORKDAY.INTL(H89,-7,1,),'Tasas-TC'!A:B,2,FALSE),VLOOKUP(WORKDAY.INTL(H88,-7,1,),'Tasas-TC'!A:B,2,FALSE))+$D$102)),$D$103,IF(AND($D$104&lt;&gt;"",$D$104&lt;(AVERAGE(VLOOKUP(WORKDAY.INTL(H89,-7,1,),'Tasas-TC'!A:B,2,FALSE),VLOOKUP(WORKDAY.INTL(H88,-7,1,),'Tasas-TC'!A:B,2,FALSE))+$D$102)),$D$104,(AVERAGE(VLOOKUP(WORKDAY.INTL(H89,-7,1,),'Tasas-TC'!A:B,2,FALSE),VLOOKUP(WORKDAY.INTL(H88,-7,1,),'Tasas-TC'!A:B,2,FALSE))+$D$102)))/360)*(H89-H88)*L88</f>
        <v>2130143.75</v>
      </c>
      <c r="K89" s="52">
        <f>+IF(OR(I89="A + C",I89="A"),$D$99*$D$105,0)</f>
        <v>1440000</v>
      </c>
      <c r="L89" s="53">
        <f>+L88-K89</f>
        <v>5760000</v>
      </c>
      <c r="M89" s="94">
        <f>+J89+K89</f>
        <v>3570143.75</v>
      </c>
      <c r="N89" s="25"/>
      <c r="O89" s="197">
        <f>+M89+O88</f>
        <v>-3629856.25</v>
      </c>
      <c r="P89" s="197">
        <f>+(M89/(1+$J$96)^((H89-$H$88)/365))/$P$88</f>
        <v>0.4958532986111111</v>
      </c>
      <c r="Q89" s="197">
        <f>+P89*((H89-$H$88)/365)</f>
        <v>0.2458888960235921</v>
      </c>
    </row>
    <row r="90" spans="1:17" ht="15.95" customHeight="1" x14ac:dyDescent="0.25">
      <c r="A90" s="121"/>
      <c r="B90" s="23"/>
      <c r="C90" s="60"/>
      <c r="D90" s="77"/>
      <c r="E90" s="78"/>
      <c r="F90" s="483"/>
      <c r="G90" s="484"/>
      <c r="H90" s="51">
        <f>IF(DAY(H89)=DAY($H$88),IF(WEEKDAY(EDATE(H89,$D$100),3)&lt;5,EDATE(H89,$D$100),WORKDAY(EDATE(H89,$D$100),1)),IF(WEEKDAY(EDATE($H$88,$D$100*COUNT($H$88:H89)),3)&lt;5,EDATE($H$88,$D$100*COUNT($H$88:H89)),WORKDAY(EDATE($H$88,$D$100*COUNT($H$88:H89)),1)))</f>
        <v>43833</v>
      </c>
      <c r="I90" s="71" t="s">
        <v>13</v>
      </c>
      <c r="J90" s="52">
        <f>(IF(AND($D$103&lt;&gt;"",$D$103&gt;(AVERAGE(VLOOKUP(WORKDAY.INTL(H90,-7,1,),'Tasas-TC'!A:B,2,FALSE),VLOOKUP(WORKDAY.INTL(H89,-7,1,),'Tasas-TC'!A:B,2,FALSE))+$D$102)),$D$103,IF(AND($D$104&lt;&gt;"",$D$104&lt;(AVERAGE(VLOOKUP(WORKDAY.INTL(H90,-7,1,),'Tasas-TC'!A:B,2,FALSE),VLOOKUP(WORKDAY.INTL(H89,-7,1,),'Tasas-TC'!A:B,2,FALSE))+$D$102)),$D$104,(AVERAGE(VLOOKUP(WORKDAY.INTL(H90,-7,1,),'Tasas-TC'!A:B,2,FALSE),VLOOKUP(WORKDAY.INTL(H89,-7,1,),'Tasas-TC'!A:B,2,FALSE))+$D$102)))/360)*(H90-H89)*L89</f>
        <v>1626560.0000000002</v>
      </c>
      <c r="K90" s="52">
        <f>+IF(OR(I90="A + C",I90="A"),$D$99*$D$105,0)</f>
        <v>1440000</v>
      </c>
      <c r="L90" s="53">
        <f>+L89-K90</f>
        <v>4320000</v>
      </c>
      <c r="M90" s="94">
        <f>+J90+K90</f>
        <v>3066560</v>
      </c>
      <c r="N90" s="25"/>
      <c r="O90" s="197">
        <f>+M90+O89</f>
        <v>-563296.25</v>
      </c>
      <c r="P90" s="197">
        <f t="shared" ref="P90:P92" si="11">+(M90/(1+$J$96)^((H90-$H$88)/365))/$P$88</f>
        <v>0.42591111111111113</v>
      </c>
      <c r="Q90" s="197">
        <f t="shared" ref="Q90:Q92" si="12">+P90*((H90-$H$88)/365)</f>
        <v>0.42591111111111113</v>
      </c>
    </row>
    <row r="91" spans="1:17" ht="15.95" customHeight="1" x14ac:dyDescent="0.25">
      <c r="A91" s="121"/>
      <c r="B91" s="23"/>
      <c r="C91" s="60"/>
      <c r="D91" s="55" t="str">
        <f>+B79</f>
        <v>Agro Ganadera Vidoret II</v>
      </c>
      <c r="E91" s="64"/>
      <c r="F91" s="483"/>
      <c r="G91" s="484">
        <f>+J81</f>
        <v>0</v>
      </c>
      <c r="H91" s="51">
        <f>IF(DAY(H90)=DAY($H$88),IF(WEEKDAY(EDATE(H90,$D$100),3)&lt;5,EDATE(H90,$D$100),WORKDAY(EDATE(H90,$D$100),1)),IF(WEEKDAY(EDATE($H$88,$D$100*COUNT($H$88:H90)),3)&lt;5,EDATE($H$88,$D$100*COUNT($H$88:H90)),WORKDAY(EDATE($H$88,$D$100*COUNT($H$88:H90)),1)))</f>
        <v>44015</v>
      </c>
      <c r="I91" s="71" t="s">
        <v>13</v>
      </c>
      <c r="J91" s="52">
        <f>(IF(AND($D$103&lt;&gt;"",$D$103&gt;(AVERAGE(VLOOKUP(WORKDAY.INTL(H91,-7,1,),'Tasas-TC'!A:B,2,FALSE),VLOOKUP(WORKDAY.INTL(H90,-7,1,),'Tasas-TC'!A:B,2,FALSE))+$D$102)),$D$103,IF(AND($D$104&lt;&gt;"",$D$104&lt;(AVERAGE(VLOOKUP(WORKDAY.INTL(H91,-7,1,),'Tasas-TC'!A:B,2,FALSE),VLOOKUP(WORKDAY.INTL(H90,-7,1,),'Tasas-TC'!A:B,2,FALSE))+$D$102)),$D$104,(AVERAGE(VLOOKUP(WORKDAY.INTL(H91,-7,1,),'Tasas-TC'!A:B,2,FALSE),VLOOKUP(WORKDAY.INTL(H90,-7,1,),'Tasas-TC'!A:B,2,FALSE))+$D$102)))/360)*(H91-H90)*L90</f>
        <v>988260</v>
      </c>
      <c r="K91" s="52">
        <f>+IF(OR(I91="A + C",I91="A"),$D$99*$D$105,0)</f>
        <v>1440000</v>
      </c>
      <c r="L91" s="53">
        <f>+L90-K91</f>
        <v>2880000</v>
      </c>
      <c r="M91" s="94">
        <f>+J91+K91</f>
        <v>2428260</v>
      </c>
      <c r="N91" s="25"/>
      <c r="O91" s="197">
        <f>+M91+O90</f>
        <v>1864963.75</v>
      </c>
      <c r="P91" s="197">
        <f t="shared" si="11"/>
        <v>0.33725833333333333</v>
      </c>
      <c r="Q91" s="197">
        <f t="shared" si="12"/>
        <v>0.50542550228310501</v>
      </c>
    </row>
    <row r="92" spans="1:17" ht="15.95" customHeight="1" x14ac:dyDescent="0.25">
      <c r="A92" s="121"/>
      <c r="B92" s="32"/>
      <c r="D92" s="644"/>
      <c r="E92" s="660"/>
      <c r="F92" s="483"/>
      <c r="G92" s="484"/>
      <c r="H92" s="51">
        <f>IF(DAY(H91)=DAY($H$88),IF(WEEKDAY(EDATE(H91,$D$100),3)&lt;5,EDATE(H91,$D$100),WORKDAY(EDATE(H91,$D$100),1)),IF(WEEKDAY(EDATE($H$88,$D$100*COUNT($H$88:H91)),3)&lt;5,EDATE($H$88,$D$100*COUNT($H$88:H91)),WORKDAY(EDATE($H$88,$D$100*COUNT($H$88:H91)),1)))</f>
        <v>44200</v>
      </c>
      <c r="I92" s="71" t="s">
        <v>13</v>
      </c>
      <c r="J92" s="52">
        <f>(IF(AND($D$103&lt;&gt;"",$D$103&gt;(AVERAGE(VLOOKUP(WORKDAY.INTL(H92,-7,1,),'Tasas-TC'!A:B,2,FALSE),VLOOKUP(WORKDAY.INTL(H91,-7,1,),'Tasas-TC'!A:B,2,FALSE))+$D$102)),$D$103,IF(AND($D$104&lt;&gt;"",$D$104&lt;(AVERAGE(VLOOKUP(WORKDAY.INTL(H92,-7,1,),'Tasas-TC'!A:B,2,FALSE),VLOOKUP(WORKDAY.INTL(H91,-7,1,),'Tasas-TC'!A:B,2,FALSE))+$D$102)),$D$104,(AVERAGE(VLOOKUP(WORKDAY.INTL(H92,-7,1,),'Tasas-TC'!A:B,2,FALSE),VLOOKUP(WORKDAY.INTL(H91,-7,1,),'Tasas-TC'!A:B,2,FALSE))+$D$102)))/360)*(H92-H91)*L91</f>
        <v>620212.5</v>
      </c>
      <c r="K92" s="52">
        <f>+IF(OR(I92="A + C",I92="A"),$D$99*$D$106,0)</f>
        <v>2880000</v>
      </c>
      <c r="L92" s="53">
        <f>+L91-K92</f>
        <v>0</v>
      </c>
      <c r="M92" s="94">
        <f>+J92+K92</f>
        <v>3500212.5</v>
      </c>
      <c r="N92" s="25"/>
      <c r="O92" s="197">
        <f>+M92+O91</f>
        <v>5365176.25</v>
      </c>
      <c r="P92" s="197">
        <f t="shared" si="11"/>
        <v>0.48614062499999999</v>
      </c>
      <c r="Q92" s="197">
        <f t="shared" si="12"/>
        <v>0.97494503424657541</v>
      </c>
    </row>
    <row r="93" spans="1:17" ht="15.95" customHeight="1" x14ac:dyDescent="0.25">
      <c r="A93" s="121"/>
      <c r="B93" s="23"/>
      <c r="C93" s="638" t="s">
        <v>36</v>
      </c>
      <c r="D93" s="640"/>
      <c r="E93" s="36"/>
      <c r="F93" s="483"/>
      <c r="G93" s="484"/>
      <c r="H93" s="54"/>
      <c r="I93" s="61"/>
      <c r="J93" s="55"/>
      <c r="K93" s="56"/>
      <c r="L93" s="57"/>
      <c r="M93" s="95"/>
      <c r="N93" s="25"/>
      <c r="O93" s="197"/>
      <c r="P93" s="197"/>
      <c r="Q93" s="197"/>
    </row>
    <row r="94" spans="1:17" ht="15.95" customHeight="1" x14ac:dyDescent="0.25">
      <c r="A94" s="121"/>
      <c r="B94" s="23"/>
      <c r="C94" s="59"/>
      <c r="D94" s="62"/>
      <c r="E94" s="36"/>
      <c r="F94" s="483"/>
      <c r="G94" s="484"/>
      <c r="H94" s="24"/>
      <c r="I94" s="24"/>
      <c r="J94" s="24"/>
      <c r="K94" s="24"/>
      <c r="L94" s="24"/>
      <c r="M94" s="24"/>
      <c r="N94" s="25"/>
      <c r="O94" s="197"/>
      <c r="P94" s="197"/>
      <c r="Q94" s="197"/>
    </row>
    <row r="95" spans="1:17" ht="15.95" customHeight="1" x14ac:dyDescent="0.25">
      <c r="A95" s="121"/>
      <c r="B95" s="23"/>
      <c r="C95" s="59" t="s">
        <v>9</v>
      </c>
      <c r="D95" s="98" t="s">
        <v>18</v>
      </c>
      <c r="E95" s="36"/>
      <c r="F95" s="483"/>
      <c r="G95" s="484"/>
      <c r="H95" s="656" t="s">
        <v>43</v>
      </c>
      <c r="I95" s="656"/>
      <c r="J95" s="92">
        <v>0</v>
      </c>
      <c r="K95" s="92"/>
      <c r="L95" s="24"/>
      <c r="M95" s="24"/>
      <c r="N95" s="25"/>
      <c r="O95" s="195"/>
      <c r="P95" s="29"/>
    </row>
    <row r="96" spans="1:17" ht="15.95" customHeight="1" x14ac:dyDescent="0.25">
      <c r="A96" s="121"/>
      <c r="B96" s="23"/>
      <c r="C96" s="59" t="s">
        <v>10</v>
      </c>
      <c r="D96" s="65">
        <v>43461</v>
      </c>
      <c r="E96" s="36"/>
      <c r="F96" s="483"/>
      <c r="G96" s="484"/>
      <c r="H96" s="657"/>
      <c r="I96" s="657"/>
      <c r="J96" s="392"/>
      <c r="K96" s="24"/>
      <c r="L96" s="33"/>
      <c r="M96" s="33"/>
      <c r="N96" s="25"/>
      <c r="O96" s="195"/>
      <c r="P96" s="29"/>
    </row>
    <row r="97" spans="1:16" ht="15.95" customHeight="1" x14ac:dyDescent="0.25">
      <c r="A97" s="121"/>
      <c r="B97" s="23"/>
      <c r="C97" s="59" t="s">
        <v>11</v>
      </c>
      <c r="D97" s="65">
        <v>43468</v>
      </c>
      <c r="E97" s="36"/>
      <c r="F97" s="483"/>
      <c r="G97" s="484"/>
      <c r="H97" s="24"/>
      <c r="I97" s="24"/>
      <c r="J97" s="24"/>
      <c r="K97" s="24"/>
      <c r="L97" s="24"/>
      <c r="M97" s="24"/>
      <c r="N97" s="25"/>
      <c r="O97" s="195"/>
      <c r="P97" s="29"/>
    </row>
    <row r="98" spans="1:16" ht="15.95" customHeight="1" x14ac:dyDescent="0.25">
      <c r="A98" s="121"/>
      <c r="B98" s="23"/>
      <c r="C98" s="59" t="s">
        <v>12</v>
      </c>
      <c r="D98" s="65">
        <v>44199</v>
      </c>
      <c r="E98" s="36"/>
      <c r="F98" s="483"/>
      <c r="G98" s="485"/>
      <c r="H98" s="638" t="s">
        <v>44</v>
      </c>
      <c r="I98" s="639"/>
      <c r="J98" s="639"/>
      <c r="K98" s="639"/>
      <c r="L98" s="639"/>
      <c r="M98" s="640"/>
      <c r="N98" s="25"/>
      <c r="O98" s="195"/>
    </row>
    <row r="99" spans="1:16" ht="15.95" customHeight="1" x14ac:dyDescent="0.25">
      <c r="A99" s="121"/>
      <c r="B99" s="23"/>
      <c r="C99" s="59" t="s">
        <v>27</v>
      </c>
      <c r="D99" s="66">
        <v>7200000</v>
      </c>
      <c r="E99" s="41"/>
      <c r="F99" s="480"/>
      <c r="G99" s="485"/>
      <c r="H99" s="23"/>
      <c r="I99" s="24"/>
      <c r="J99" s="24"/>
      <c r="K99" s="24"/>
      <c r="L99" s="24"/>
      <c r="M99" s="25"/>
      <c r="N99" s="25"/>
      <c r="O99" s="195"/>
      <c r="P99" s="37"/>
    </row>
    <row r="100" spans="1:16" ht="15.95" customHeight="1" x14ac:dyDescent="0.25">
      <c r="A100" s="121"/>
      <c r="B100" s="23"/>
      <c r="C100" s="59" t="s">
        <v>26</v>
      </c>
      <c r="D100" s="66">
        <v>6</v>
      </c>
      <c r="E100" s="36"/>
      <c r="F100" s="480"/>
      <c r="G100" s="485"/>
      <c r="H100" s="23"/>
      <c r="I100" s="24"/>
      <c r="J100" s="24"/>
      <c r="K100" s="24"/>
      <c r="L100" s="24"/>
      <c r="M100" s="25"/>
      <c r="N100" s="25"/>
      <c r="O100" s="195"/>
    </row>
    <row r="101" spans="1:16" ht="15.95" customHeight="1" x14ac:dyDescent="0.25">
      <c r="A101" s="121"/>
      <c r="B101" s="23"/>
      <c r="C101" s="59" t="s">
        <v>19</v>
      </c>
      <c r="D101" s="67" t="s">
        <v>20</v>
      </c>
      <c r="E101" s="43"/>
      <c r="F101" s="480"/>
      <c r="G101" s="485"/>
      <c r="H101" s="96"/>
      <c r="I101" s="35"/>
      <c r="J101" s="24"/>
      <c r="K101" s="24"/>
      <c r="L101" s="24"/>
      <c r="M101" s="25"/>
      <c r="N101" s="25"/>
      <c r="O101" s="195"/>
    </row>
    <row r="102" spans="1:16" ht="15.95" customHeight="1" x14ac:dyDescent="0.25">
      <c r="A102" s="121"/>
      <c r="B102" s="23"/>
      <c r="C102" s="59" t="s">
        <v>14</v>
      </c>
      <c r="D102" s="68">
        <v>0.1</v>
      </c>
      <c r="E102" s="43"/>
      <c r="F102" s="480"/>
      <c r="G102" s="485"/>
      <c r="H102" s="23"/>
      <c r="I102" s="24"/>
      <c r="J102" s="24"/>
      <c r="K102" s="24"/>
      <c r="L102" s="24"/>
      <c r="M102" s="25"/>
      <c r="N102" s="25"/>
      <c r="O102" s="195"/>
    </row>
    <row r="103" spans="1:16" ht="15.95" customHeight="1" x14ac:dyDescent="0.25">
      <c r="A103" s="121"/>
      <c r="B103" s="23"/>
      <c r="C103" s="59" t="s">
        <v>31</v>
      </c>
      <c r="D103" s="68"/>
      <c r="E103" s="43"/>
      <c r="F103" s="480"/>
      <c r="G103" s="485"/>
      <c r="H103" s="23"/>
      <c r="I103" s="24"/>
      <c r="J103" s="24"/>
      <c r="K103" s="24"/>
      <c r="L103" s="24"/>
      <c r="M103" s="25"/>
      <c r="N103" s="25"/>
      <c r="O103" s="195"/>
    </row>
    <row r="104" spans="1:16" ht="15.95" customHeight="1" x14ac:dyDescent="0.25">
      <c r="A104" s="121"/>
      <c r="B104" s="23"/>
      <c r="C104" s="59" t="s">
        <v>32</v>
      </c>
      <c r="D104" s="68"/>
      <c r="E104" s="44"/>
      <c r="F104" s="480"/>
      <c r="G104" s="485"/>
      <c r="H104" s="23"/>
      <c r="I104" s="24"/>
      <c r="J104" s="24"/>
      <c r="K104" s="24"/>
      <c r="L104" s="24"/>
      <c r="M104" s="25"/>
      <c r="N104" s="25"/>
      <c r="O104" s="195"/>
    </row>
    <row r="105" spans="1:16" ht="15.95" customHeight="1" x14ac:dyDescent="0.25">
      <c r="A105" s="121"/>
      <c r="B105" s="23"/>
      <c r="C105" s="59" t="s">
        <v>54</v>
      </c>
      <c r="D105" s="69">
        <v>0.2</v>
      </c>
      <c r="E105" s="24"/>
      <c r="F105" s="480"/>
      <c r="G105" s="485"/>
      <c r="H105" s="23"/>
      <c r="I105" s="24"/>
      <c r="J105" s="24"/>
      <c r="K105" s="24"/>
      <c r="L105" s="24"/>
      <c r="M105" s="25"/>
      <c r="N105" s="25"/>
      <c r="O105" s="195"/>
    </row>
    <row r="106" spans="1:16" ht="15.95" customHeight="1" x14ac:dyDescent="0.25">
      <c r="A106" s="121"/>
      <c r="B106" s="23"/>
      <c r="C106" s="59" t="s">
        <v>55</v>
      </c>
      <c r="D106" s="69">
        <v>0.4</v>
      </c>
      <c r="E106" s="24"/>
      <c r="F106" s="480"/>
      <c r="G106" s="485"/>
      <c r="H106" s="23"/>
      <c r="I106" s="24"/>
      <c r="J106" s="24"/>
      <c r="K106" s="24"/>
      <c r="L106" s="24"/>
      <c r="M106" s="25"/>
      <c r="N106" s="25"/>
      <c r="O106" s="195"/>
    </row>
    <row r="107" spans="1:16" ht="15.95" customHeight="1" x14ac:dyDescent="0.25">
      <c r="A107" s="121"/>
      <c r="B107" s="23"/>
      <c r="C107" s="63"/>
      <c r="D107" s="64"/>
      <c r="E107" s="24"/>
      <c r="F107" s="480"/>
      <c r="G107" s="485"/>
      <c r="H107" s="23"/>
      <c r="I107" s="24"/>
      <c r="J107" s="24"/>
      <c r="K107" s="24"/>
      <c r="L107" s="24"/>
      <c r="M107" s="25"/>
      <c r="N107" s="25"/>
      <c r="O107" s="195"/>
    </row>
    <row r="108" spans="1:16" ht="15.95" customHeight="1" x14ac:dyDescent="0.25">
      <c r="A108" s="121"/>
      <c r="B108" s="23"/>
      <c r="C108" s="24"/>
      <c r="D108" s="24"/>
      <c r="E108" s="24"/>
      <c r="F108" s="480"/>
      <c r="G108" s="485"/>
      <c r="H108" s="23"/>
      <c r="I108" s="24"/>
      <c r="J108" s="24"/>
      <c r="K108" s="24"/>
      <c r="L108" s="24"/>
      <c r="M108" s="25"/>
      <c r="N108" s="25"/>
      <c r="O108" s="195"/>
    </row>
    <row r="109" spans="1:16" ht="15.95" customHeight="1" x14ac:dyDescent="0.25">
      <c r="A109" s="121"/>
      <c r="B109" s="23"/>
      <c r="C109" s="24"/>
      <c r="D109" s="24"/>
      <c r="E109" s="24"/>
      <c r="F109" s="480"/>
      <c r="G109" s="485"/>
      <c r="H109" s="23"/>
      <c r="I109" s="24"/>
      <c r="J109" s="24"/>
      <c r="K109" s="24"/>
      <c r="L109" s="24"/>
      <c r="M109" s="25"/>
      <c r="N109" s="25"/>
      <c r="O109" s="195"/>
    </row>
    <row r="110" spans="1:16" ht="15.95" customHeight="1" x14ac:dyDescent="0.25">
      <c r="A110" s="121"/>
      <c r="B110" s="23"/>
      <c r="C110" s="24"/>
      <c r="D110" s="24"/>
      <c r="E110" s="24"/>
      <c r="F110" s="480"/>
      <c r="G110" s="485"/>
      <c r="H110" s="26"/>
      <c r="I110" s="27"/>
      <c r="J110" s="27"/>
      <c r="K110" s="27"/>
      <c r="L110" s="27"/>
      <c r="M110" s="28"/>
      <c r="N110" s="25"/>
      <c r="O110" s="195"/>
    </row>
    <row r="111" spans="1:16" ht="15.95" customHeight="1" x14ac:dyDescent="0.25">
      <c r="A111" s="121"/>
      <c r="B111" s="26"/>
      <c r="C111" s="27"/>
      <c r="D111" s="27"/>
      <c r="E111" s="27"/>
      <c r="F111" s="481"/>
      <c r="G111" s="486"/>
      <c r="H111" s="27"/>
      <c r="I111" s="27"/>
      <c r="J111" s="27"/>
      <c r="K111" s="27"/>
      <c r="L111" s="27"/>
      <c r="M111" s="27"/>
      <c r="N111" s="28"/>
      <c r="O111" s="195"/>
    </row>
    <row r="112" spans="1:16" ht="20.100000000000001" customHeight="1" x14ac:dyDescent="0.25">
      <c r="A112" s="121"/>
      <c r="B112" s="661" t="s">
        <v>354</v>
      </c>
      <c r="C112" s="662"/>
      <c r="D112" s="662"/>
      <c r="E112" s="662"/>
      <c r="F112" s="662"/>
      <c r="G112" s="662"/>
      <c r="H112" s="662"/>
      <c r="I112" s="662"/>
      <c r="J112" s="662"/>
      <c r="K112" s="662"/>
      <c r="L112" s="662"/>
      <c r="M112" s="662"/>
      <c r="N112" s="663"/>
      <c r="O112" s="195"/>
    </row>
    <row r="113" spans="1:17" ht="15.95" customHeight="1" x14ac:dyDescent="0.25">
      <c r="A113" s="121"/>
      <c r="B113" s="23"/>
      <c r="C113" s="24"/>
      <c r="D113" s="24"/>
      <c r="E113" s="24"/>
      <c r="F113" s="483"/>
      <c r="G113" s="484"/>
      <c r="H113" s="31"/>
      <c r="I113" s="31"/>
      <c r="J113" s="24"/>
      <c r="K113" s="24"/>
      <c r="L113" s="24"/>
      <c r="M113" s="24"/>
      <c r="N113" s="25"/>
      <c r="O113" s="195"/>
    </row>
    <row r="114" spans="1:17" ht="15.95" customHeight="1" x14ac:dyDescent="0.25">
      <c r="A114" s="121"/>
      <c r="B114" s="23"/>
      <c r="C114" s="638" t="s">
        <v>37</v>
      </c>
      <c r="D114" s="639"/>
      <c r="E114" s="640"/>
      <c r="F114" s="483"/>
      <c r="G114" s="484"/>
      <c r="H114" s="641" t="s">
        <v>28</v>
      </c>
      <c r="I114" s="642"/>
      <c r="J114" s="39">
        <f>D132-SUMIF(H120:H125,"&lt;"&amp;$M$4,K120:K125)</f>
        <v>0</v>
      </c>
      <c r="K114" s="24"/>
      <c r="L114" s="24"/>
      <c r="M114" s="24"/>
      <c r="N114" s="25"/>
      <c r="O114" s="194" t="str">
        <f>+D118</f>
        <v>ON Pyme CNV Garantizada</v>
      </c>
    </row>
    <row r="115" spans="1:17" ht="15.95" customHeight="1" x14ac:dyDescent="0.25">
      <c r="A115" s="121"/>
      <c r="B115" s="23"/>
      <c r="C115" s="58"/>
      <c r="D115" s="664"/>
      <c r="E115" s="665"/>
      <c r="F115" s="483"/>
      <c r="G115" s="484"/>
      <c r="H115" s="645" t="s">
        <v>29</v>
      </c>
      <c r="I115" s="646"/>
      <c r="J115" s="40">
        <f>+$D$131</f>
        <v>45199</v>
      </c>
      <c r="K115" s="24"/>
      <c r="L115" s="24"/>
      <c r="M115" s="24"/>
      <c r="N115" s="25"/>
      <c r="O115" s="195"/>
    </row>
    <row r="116" spans="1:17" ht="15.95" customHeight="1" x14ac:dyDescent="0.25">
      <c r="A116" s="121"/>
      <c r="B116" s="23"/>
      <c r="C116" s="59" t="s">
        <v>25</v>
      </c>
      <c r="D116" s="658"/>
      <c r="E116" s="659"/>
      <c r="F116" s="483"/>
      <c r="G116" s="484"/>
      <c r="H116" s="649" t="s">
        <v>30</v>
      </c>
      <c r="I116" s="650"/>
      <c r="J116" s="42" t="s">
        <v>523</v>
      </c>
      <c r="K116" s="24"/>
      <c r="L116" s="24"/>
      <c r="M116" s="24"/>
      <c r="N116" s="25"/>
      <c r="O116" s="194" t="str">
        <f>+IF(J116="vencida",IF(D118='Reporte - Oscuro'!$C$40,'Reporte - Oscuro'!$C$40&amp;" vencida",IF(D118='Reporte - Oscuro'!$C$41,'Reporte - Oscuro'!$C$41&amp;" vencida",IF(D118='Reporte - Oscuro'!$C$42,'Reporte - Oscuro'!$C$42&amp;" vencida",'Reporte - Oscuro'!$C$43&amp;" vencida"))),D118&amp;" vigente")</f>
        <v>ON Pyme CNV Garantizada vencida</v>
      </c>
    </row>
    <row r="117" spans="1:17" ht="15.95" customHeight="1" x14ac:dyDescent="0.25">
      <c r="A117" s="121"/>
      <c r="B117" s="23"/>
      <c r="C117" s="59" t="s">
        <v>6</v>
      </c>
      <c r="D117" s="658" t="s">
        <v>16</v>
      </c>
      <c r="E117" s="659"/>
      <c r="F117" s="483"/>
      <c r="G117" s="484"/>
      <c r="H117" s="24"/>
      <c r="I117" s="24"/>
      <c r="J117" s="24"/>
      <c r="K117" s="24"/>
      <c r="L117" s="24"/>
      <c r="M117" s="24"/>
      <c r="N117" s="25"/>
      <c r="O117" s="195"/>
    </row>
    <row r="118" spans="1:17" ht="15.95" customHeight="1" x14ac:dyDescent="0.25">
      <c r="A118" s="121"/>
      <c r="B118" s="23"/>
      <c r="C118" s="59" t="s">
        <v>8</v>
      </c>
      <c r="D118" s="658" t="s">
        <v>17</v>
      </c>
      <c r="E118" s="659"/>
      <c r="F118" s="483"/>
      <c r="G118" s="484"/>
      <c r="H118" s="651" t="s">
        <v>41</v>
      </c>
      <c r="I118" s="652"/>
      <c r="J118" s="652"/>
      <c r="K118" s="652"/>
      <c r="L118" s="653"/>
      <c r="M118" s="24"/>
      <c r="N118" s="25"/>
      <c r="O118" s="195"/>
      <c r="P118" s="391"/>
    </row>
    <row r="119" spans="1:17" ht="15.95" customHeight="1" x14ac:dyDescent="0.25">
      <c r="A119" s="121"/>
      <c r="B119" s="23"/>
      <c r="C119" s="59" t="s">
        <v>33</v>
      </c>
      <c r="D119" s="73" t="s">
        <v>325</v>
      </c>
      <c r="E119" s="273">
        <v>1</v>
      </c>
      <c r="F119" s="483">
        <f>+E119*J114</f>
        <v>0</v>
      </c>
      <c r="G119" s="484"/>
      <c r="H119" s="81" t="s">
        <v>0</v>
      </c>
      <c r="I119" s="82" t="s">
        <v>2</v>
      </c>
      <c r="J119" s="82" t="s">
        <v>3</v>
      </c>
      <c r="K119" s="82" t="s">
        <v>4</v>
      </c>
      <c r="L119" s="83" t="s">
        <v>5</v>
      </c>
      <c r="M119" s="82" t="s">
        <v>44</v>
      </c>
      <c r="N119" s="25"/>
      <c r="O119" s="195"/>
    </row>
    <row r="120" spans="1:17" ht="15.95" customHeight="1" x14ac:dyDescent="0.25">
      <c r="A120" s="121"/>
      <c r="B120" s="23"/>
      <c r="C120" s="59" t="s">
        <v>34</v>
      </c>
      <c r="D120" s="658" t="s">
        <v>100</v>
      </c>
      <c r="E120" s="659"/>
      <c r="F120" s="483"/>
      <c r="G120" s="484"/>
      <c r="H120" s="45"/>
      <c r="I120" s="46"/>
      <c r="J120" s="46"/>
      <c r="K120" s="46"/>
      <c r="L120" s="47"/>
      <c r="M120" s="23"/>
      <c r="N120" s="25"/>
      <c r="O120" s="195"/>
    </row>
    <row r="121" spans="1:17" ht="15.95" customHeight="1" x14ac:dyDescent="0.25">
      <c r="A121" s="121"/>
      <c r="B121" s="23"/>
      <c r="C121" s="79" t="s">
        <v>38</v>
      </c>
      <c r="D121" s="75"/>
      <c r="E121" s="76"/>
      <c r="F121" s="483"/>
      <c r="G121" s="484"/>
      <c r="H121" s="48">
        <f>+$D$130</f>
        <v>44469</v>
      </c>
      <c r="I121" s="70"/>
      <c r="J121" s="49">
        <v>0</v>
      </c>
      <c r="K121" s="49"/>
      <c r="L121" s="50">
        <f>+D132</f>
        <v>10000000</v>
      </c>
      <c r="M121" s="93">
        <f>-L121</f>
        <v>-10000000</v>
      </c>
      <c r="N121" s="25"/>
      <c r="O121" s="197">
        <f>+M121</f>
        <v>-10000000</v>
      </c>
      <c r="P121" s="197">
        <f>-M121</f>
        <v>10000000</v>
      </c>
      <c r="Q121" s="197"/>
    </row>
    <row r="122" spans="1:17" ht="15.95" customHeight="1" x14ac:dyDescent="0.25">
      <c r="A122" s="121"/>
      <c r="B122" s="23"/>
      <c r="C122" s="59"/>
      <c r="D122" s="73"/>
      <c r="E122" s="74"/>
      <c r="F122" s="483"/>
      <c r="G122" s="484"/>
      <c r="H122" s="51">
        <v>44650</v>
      </c>
      <c r="I122" s="71" t="s">
        <v>13</v>
      </c>
      <c r="J122" s="52">
        <f>(IF(AND($D$136&lt;&gt;"",$D$136&gt;(AVERAGE(VLOOKUP(WORKDAY.INTL(H122,-7,1,),'Tasas-TC'!A:B,2,FALSE),VLOOKUP(WORKDAY.INTL(H121,-7,1,),'Tasas-TC'!A:B,2,FALSE))+$D$135)),$D$136,IF(AND($D$137&lt;&gt;"",$D$137&lt;(AVERAGE(VLOOKUP(WORKDAY.INTL(H122,-7,1,),'Tasas-TC'!A:B,2,FALSE),VLOOKUP(WORKDAY.INTL(H121,-7,1,),'Tasas-TC'!A:B,2,FALSE))+$D$135)),$D$137,(AVERAGE(VLOOKUP(WORKDAY.INTL(H122,-7,1,),'Tasas-TC'!A:B,2,FALSE),VLOOKUP(WORKDAY.INTL(H121,-7,1,),'Tasas-TC'!A:B,2,FALSE))+$D$135)))/360)*(H122-H121)*L121</f>
        <v>2177656.25</v>
      </c>
      <c r="K122" s="52">
        <f>+IF(OR(I122="A + C",I122="A"),$D$132*$D$138,0)</f>
        <v>2500000</v>
      </c>
      <c r="L122" s="53">
        <f>+L121-K122</f>
        <v>7500000</v>
      </c>
      <c r="M122" s="94">
        <f>+J122+K122</f>
        <v>4677656.25</v>
      </c>
      <c r="N122" s="25"/>
      <c r="O122" s="197">
        <f>+M122+O121</f>
        <v>-5322343.75</v>
      </c>
      <c r="P122" s="197">
        <f>+(M122/(1+$J$96)^((H122-$H$88)/365))/$P$121</f>
        <v>0.46776562500000002</v>
      </c>
      <c r="Q122" s="197">
        <f>+P122*((H122-$H$88)/365)</f>
        <v>1.5147916952054794</v>
      </c>
    </row>
    <row r="123" spans="1:17" ht="15.95" customHeight="1" x14ac:dyDescent="0.25">
      <c r="A123" s="121"/>
      <c r="B123" s="23"/>
      <c r="C123" s="60"/>
      <c r="D123" s="77"/>
      <c r="E123" s="78"/>
      <c r="F123" s="483"/>
      <c r="G123" s="484"/>
      <c r="H123" s="51">
        <v>44834</v>
      </c>
      <c r="I123" s="71" t="s">
        <v>13</v>
      </c>
      <c r="J123" s="52">
        <f>(IF(AND($D$136&lt;&gt;"",$D$136&gt;(AVERAGE(VLOOKUP(WORKDAY.INTL(H123,-7,1,),'Tasas-TC'!A:B,2,FALSE),VLOOKUP(WORKDAY.INTL(H122,-7,1,),'Tasas-TC'!A:B,2,FALSE))+$D$135)),$D$136,IF(AND($D$137&lt;&gt;"",$D$137&lt;(AVERAGE(VLOOKUP(WORKDAY.INTL(H123,-7,1,),'Tasas-TC'!A:B,2,FALSE),VLOOKUP(WORKDAY.INTL(H122,-7,1,),'Tasas-TC'!A:B,2,FALSE))+$D$135)),$D$137,(AVERAGE(VLOOKUP(WORKDAY.INTL(H123,-7,1,),'Tasas-TC'!A:B,2,FALSE),VLOOKUP(WORKDAY.INTL(H122,-7,1,),'Tasas-TC'!A:B,2,FALSE))+$D$135)))/360)*(H123-H122)*L122</f>
        <v>2341927.0833333335</v>
      </c>
      <c r="K123" s="52">
        <f t="shared" ref="K123:K125" si="13">+IF(OR(I123="A + C",I123="A"),$D$132*$D$138,0)</f>
        <v>2500000</v>
      </c>
      <c r="L123" s="53">
        <f>+L122-K123</f>
        <v>5000000</v>
      </c>
      <c r="M123" s="94">
        <f>+J123+K123</f>
        <v>4841927.083333334</v>
      </c>
      <c r="N123" s="25"/>
      <c r="O123" s="197">
        <f>+M123+O122</f>
        <v>-480416.66666666605</v>
      </c>
      <c r="P123" s="197">
        <f>+(M123/(1+$J$96)^((H123-$H$88)/365))/$P$121</f>
        <v>0.48419270833333339</v>
      </c>
      <c r="Q123" s="197">
        <f t="shared" ref="Q123:Q125" si="14">+P123*((H123-$H$88)/365)</f>
        <v>1.8120746289954339</v>
      </c>
    </row>
    <row r="124" spans="1:17" ht="15.95" customHeight="1" x14ac:dyDescent="0.25">
      <c r="A124" s="121"/>
      <c r="B124" s="23"/>
      <c r="C124" s="60"/>
      <c r="D124" s="55" t="str">
        <f>+B112</f>
        <v>Agro Ganadera Vidoret III</v>
      </c>
      <c r="E124" s="64"/>
      <c r="F124" s="483"/>
      <c r="G124" s="484">
        <f>+J114</f>
        <v>0</v>
      </c>
      <c r="H124" s="51">
        <v>45015</v>
      </c>
      <c r="I124" s="71" t="s">
        <v>13</v>
      </c>
      <c r="J124" s="52">
        <f>(IF(AND($D$136&lt;&gt;"",$D$136&gt;(AVERAGE(VLOOKUP(WORKDAY.INTL(H124,-7,1,),'Tasas-TC'!A:B,2,FALSE),VLOOKUP(WORKDAY.INTL(H123,-7,1,),'Tasas-TC'!A:B,2,FALSE))+$D$135)),$D$136,IF(AND($D$137&lt;&gt;"",$D$137&lt;(AVERAGE(VLOOKUP(WORKDAY.INTL(H124,-7,1,),'Tasas-TC'!A:B,2,FALSE),VLOOKUP(WORKDAY.INTL(H123,-7,1,),'Tasas-TC'!A:B,2,FALSE))+$D$135)),$D$137,(AVERAGE(VLOOKUP(WORKDAY.INTL(H124,-7,1,),'Tasas-TC'!A:B,2,FALSE),VLOOKUP(WORKDAY.INTL(H123,-7,1,),'Tasas-TC'!A:B,2,FALSE))+$D$135)))/360)*(H124-H123)*L123</f>
        <v>1915269.0972222222</v>
      </c>
      <c r="K124" s="52">
        <f t="shared" si="13"/>
        <v>2500000</v>
      </c>
      <c r="L124" s="53">
        <f>+L123-K124</f>
        <v>2500000</v>
      </c>
      <c r="M124" s="94">
        <f>+J124+K124</f>
        <v>4415269.097222222</v>
      </c>
      <c r="N124" s="25"/>
      <c r="O124" s="197">
        <f>+M124+O123</f>
        <v>3934852.430555556</v>
      </c>
      <c r="P124" s="197">
        <f>+(M124/(1+$J$96)^((H124-$H$88)/365))/$P$121</f>
        <v>0.44152690972222219</v>
      </c>
      <c r="Q124" s="197">
        <f t="shared" si="14"/>
        <v>1.8713482995624047</v>
      </c>
    </row>
    <row r="125" spans="1:17" ht="15.95" customHeight="1" x14ac:dyDescent="0.25">
      <c r="A125" s="121"/>
      <c r="B125" s="32"/>
      <c r="D125" s="644"/>
      <c r="E125" s="660"/>
      <c r="F125" s="483"/>
      <c r="G125" s="484"/>
      <c r="H125" s="51">
        <v>45199</v>
      </c>
      <c r="I125" s="71" t="s">
        <v>13</v>
      </c>
      <c r="J125" s="52">
        <f>(IF(AND($D$136&lt;&gt;"",$D$136&gt;(AVERAGE(VLOOKUP(WORKDAY.INTL(H125,-7,1,),'Tasas-TC'!A:B,2,FALSE),VLOOKUP(WORKDAY.INTL(H124,-7,1,),'Tasas-TC'!A:B,2,FALSE))+$D$135)),$D$136,IF(AND($D$137&lt;&gt;"",$D$137&lt;(AVERAGE(VLOOKUP(WORKDAY.INTL(H125,-7,1,),'Tasas-TC'!A:B,2,FALSE),VLOOKUP(WORKDAY.INTL(H124,-7,1,),'Tasas-TC'!A:B,2,FALSE))+$D$135)),$D$137,(AVERAGE(VLOOKUP(WORKDAY.INTL(H125,-7,1,),'Tasas-TC'!A:B,2,FALSE),VLOOKUP(WORKDAY.INTL(H124,-7,1,),'Tasas-TC'!A:B,2,FALSE))+$D$135)))/360)*(H125-H124)*L124</f>
        <v>1254618.0555555557</v>
      </c>
      <c r="K125" s="52">
        <f t="shared" si="13"/>
        <v>2500000</v>
      </c>
      <c r="L125" s="53">
        <f>+L124-K125</f>
        <v>0</v>
      </c>
      <c r="M125" s="94">
        <f>+J125+K125</f>
        <v>3754618.055555556</v>
      </c>
      <c r="N125" s="25"/>
      <c r="O125" s="197">
        <f>+M125+O124</f>
        <v>7689470.4861111119</v>
      </c>
      <c r="P125" s="197">
        <f>+(M125/(1+$J$96)^((H125-$H$88)/365))/$P$121</f>
        <v>0.37546180555555558</v>
      </c>
      <c r="Q125" s="197">
        <f t="shared" si="14"/>
        <v>1.7806147545662103</v>
      </c>
    </row>
    <row r="126" spans="1:17" ht="15.95" customHeight="1" x14ac:dyDescent="0.25">
      <c r="A126" s="121"/>
      <c r="B126" s="23"/>
      <c r="C126" s="638" t="s">
        <v>36</v>
      </c>
      <c r="D126" s="640"/>
      <c r="E126" s="36"/>
      <c r="F126" s="483"/>
      <c r="G126" s="484"/>
      <c r="H126" s="54"/>
      <c r="I126" s="61"/>
      <c r="J126" s="55"/>
      <c r="K126" s="56"/>
      <c r="L126" s="57"/>
      <c r="M126" s="95"/>
      <c r="N126" s="25"/>
      <c r="O126" s="197"/>
      <c r="P126" s="197"/>
      <c r="Q126" s="197"/>
    </row>
    <row r="127" spans="1:17" ht="15.95" customHeight="1" x14ac:dyDescent="0.25">
      <c r="A127" s="121"/>
      <c r="B127" s="23"/>
      <c r="C127" s="59"/>
      <c r="D127" s="62"/>
      <c r="E127" s="36"/>
      <c r="F127" s="483"/>
      <c r="G127" s="484"/>
      <c r="H127" s="24"/>
      <c r="I127" s="24"/>
      <c r="J127" s="24"/>
      <c r="K127" s="24"/>
      <c r="L127" s="24"/>
      <c r="M127" s="24"/>
      <c r="N127" s="25"/>
      <c r="O127" s="197"/>
      <c r="P127" s="197"/>
      <c r="Q127" s="197"/>
    </row>
    <row r="128" spans="1:17" ht="15.95" customHeight="1" x14ac:dyDescent="0.25">
      <c r="A128" s="121"/>
      <c r="B128" s="23"/>
      <c r="C128" s="59" t="s">
        <v>9</v>
      </c>
      <c r="D128" s="98" t="s">
        <v>18</v>
      </c>
      <c r="E128" s="36"/>
      <c r="F128" s="483"/>
      <c r="G128" s="484"/>
      <c r="H128" s="656" t="s">
        <v>43</v>
      </c>
      <c r="I128" s="656"/>
      <c r="J128" s="518">
        <v>0</v>
      </c>
      <c r="K128" s="92"/>
      <c r="L128" s="24"/>
      <c r="M128" s="24"/>
      <c r="N128" s="25"/>
      <c r="O128" s="195"/>
      <c r="P128" s="29"/>
    </row>
    <row r="129" spans="1:16" ht="15.95" customHeight="1" x14ac:dyDescent="0.25">
      <c r="A129" s="121"/>
      <c r="B129" s="23"/>
      <c r="C129" s="59" t="s">
        <v>10</v>
      </c>
      <c r="D129" s="65">
        <v>44467</v>
      </c>
      <c r="E129" s="36"/>
      <c r="F129" s="483"/>
      <c r="G129" s="484"/>
      <c r="H129" s="657"/>
      <c r="I129" s="657"/>
      <c r="J129" s="392"/>
      <c r="K129" s="24"/>
      <c r="L129" s="33"/>
      <c r="M129" s="33"/>
      <c r="N129" s="25"/>
      <c r="O129" s="195"/>
      <c r="P129" s="29"/>
    </row>
    <row r="130" spans="1:16" ht="15.95" customHeight="1" x14ac:dyDescent="0.25">
      <c r="A130" s="121"/>
      <c r="B130" s="23"/>
      <c r="C130" s="59" t="s">
        <v>11</v>
      </c>
      <c r="D130" s="65">
        <v>44469</v>
      </c>
      <c r="E130" s="36"/>
      <c r="F130" s="483"/>
      <c r="G130" s="484"/>
      <c r="H130" s="24"/>
      <c r="I130" s="24"/>
      <c r="J130" s="24"/>
      <c r="K130" s="24"/>
      <c r="L130" s="24"/>
      <c r="M130" s="24"/>
      <c r="N130" s="25"/>
      <c r="O130" s="195"/>
      <c r="P130" s="29"/>
    </row>
    <row r="131" spans="1:16" ht="15.95" customHeight="1" x14ac:dyDescent="0.25">
      <c r="A131" s="121"/>
      <c r="B131" s="23"/>
      <c r="C131" s="59" t="s">
        <v>12</v>
      </c>
      <c r="D131" s="65">
        <v>45199</v>
      </c>
      <c r="E131" s="36"/>
      <c r="F131" s="483"/>
      <c r="G131" s="485"/>
      <c r="H131" s="638" t="s">
        <v>44</v>
      </c>
      <c r="I131" s="639"/>
      <c r="J131" s="639"/>
      <c r="K131" s="639"/>
      <c r="L131" s="639"/>
      <c r="M131" s="640"/>
      <c r="N131" s="25"/>
      <c r="O131" s="195"/>
    </row>
    <row r="132" spans="1:16" ht="15.95" customHeight="1" x14ac:dyDescent="0.25">
      <c r="A132" s="121"/>
      <c r="B132" s="23"/>
      <c r="C132" s="59" t="s">
        <v>27</v>
      </c>
      <c r="D132" s="66">
        <v>10000000</v>
      </c>
      <c r="E132" s="41"/>
      <c r="F132" s="480"/>
      <c r="G132" s="485"/>
      <c r="H132" s="23"/>
      <c r="I132" s="24"/>
      <c r="J132" s="24"/>
      <c r="K132" s="24"/>
      <c r="L132" s="24"/>
      <c r="M132" s="25"/>
      <c r="N132" s="25"/>
      <c r="O132" s="195"/>
      <c r="P132" s="37"/>
    </row>
    <row r="133" spans="1:16" ht="15.95" customHeight="1" x14ac:dyDescent="0.25">
      <c r="A133" s="121"/>
      <c r="B133" s="23"/>
      <c r="C133" s="59" t="s">
        <v>26</v>
      </c>
      <c r="D133" s="66">
        <v>6</v>
      </c>
      <c r="E133" s="36"/>
      <c r="F133" s="480"/>
      <c r="G133" s="485"/>
      <c r="H133" s="23"/>
      <c r="I133" s="24"/>
      <c r="J133" s="24"/>
      <c r="K133" s="24"/>
      <c r="L133" s="24"/>
      <c r="M133" s="25"/>
      <c r="N133" s="25"/>
      <c r="O133" s="195"/>
    </row>
    <row r="134" spans="1:16" ht="15.95" customHeight="1" x14ac:dyDescent="0.25">
      <c r="A134" s="121"/>
      <c r="B134" s="23"/>
      <c r="C134" s="59" t="s">
        <v>19</v>
      </c>
      <c r="D134" s="67" t="s">
        <v>20</v>
      </c>
      <c r="E134" s="43"/>
      <c r="F134" s="480"/>
      <c r="G134" s="485"/>
      <c r="H134" s="96"/>
      <c r="I134" s="35"/>
      <c r="J134" s="24"/>
      <c r="K134" s="24"/>
      <c r="L134" s="24"/>
      <c r="M134" s="25"/>
      <c r="N134" s="25"/>
      <c r="O134" s="195"/>
    </row>
    <row r="135" spans="1:16" ht="15.95" customHeight="1" x14ac:dyDescent="0.25">
      <c r="A135" s="121"/>
      <c r="B135" s="23"/>
      <c r="C135" s="59" t="s">
        <v>14</v>
      </c>
      <c r="D135" s="68">
        <v>6.25E-2</v>
      </c>
      <c r="E135" s="43"/>
      <c r="F135" s="480"/>
      <c r="G135" s="485"/>
      <c r="H135" s="23"/>
      <c r="I135" s="24"/>
      <c r="J135" s="24"/>
      <c r="K135" s="24"/>
      <c r="L135" s="24"/>
      <c r="M135" s="25"/>
      <c r="N135" s="25"/>
      <c r="O135" s="195"/>
    </row>
    <row r="136" spans="1:16" ht="15.95" customHeight="1" x14ac:dyDescent="0.25">
      <c r="A136" s="121"/>
      <c r="B136" s="23"/>
      <c r="C136" s="59" t="s">
        <v>31</v>
      </c>
      <c r="D136" s="68"/>
      <c r="E136" s="43"/>
      <c r="F136" s="480"/>
      <c r="G136" s="485"/>
      <c r="H136" s="23"/>
      <c r="I136" s="24"/>
      <c r="J136" s="24"/>
      <c r="K136" s="24"/>
      <c r="L136" s="24"/>
      <c r="M136" s="25"/>
      <c r="N136" s="25"/>
      <c r="O136" s="195"/>
    </row>
    <row r="137" spans="1:16" ht="15.95" customHeight="1" x14ac:dyDescent="0.25">
      <c r="A137" s="121"/>
      <c r="B137" s="23"/>
      <c r="C137" s="59" t="s">
        <v>32</v>
      </c>
      <c r="D137" s="68"/>
      <c r="E137" s="44"/>
      <c r="F137" s="480"/>
      <c r="G137" s="485"/>
      <c r="H137" s="23"/>
      <c r="I137" s="24"/>
      <c r="J137" s="24"/>
      <c r="K137" s="24"/>
      <c r="L137" s="24"/>
      <c r="M137" s="25"/>
      <c r="N137" s="25"/>
      <c r="O137" s="195"/>
    </row>
    <row r="138" spans="1:16" ht="15.95" customHeight="1" x14ac:dyDescent="0.25">
      <c r="A138" s="121"/>
      <c r="B138" s="23"/>
      <c r="C138" s="59" t="s">
        <v>355</v>
      </c>
      <c r="D138" s="69">
        <v>0.25</v>
      </c>
      <c r="E138" s="24"/>
      <c r="F138" s="480"/>
      <c r="G138" s="485"/>
      <c r="H138" s="23"/>
      <c r="I138" s="24"/>
      <c r="J138" s="24"/>
      <c r="K138" s="24"/>
      <c r="L138" s="24"/>
      <c r="M138" s="25"/>
      <c r="N138" s="25"/>
      <c r="O138" s="195"/>
    </row>
    <row r="139" spans="1:16" ht="15.95" customHeight="1" x14ac:dyDescent="0.25">
      <c r="A139" s="121"/>
      <c r="B139" s="23"/>
      <c r="C139" s="59"/>
      <c r="D139" s="69"/>
      <c r="E139" s="24"/>
      <c r="F139" s="480"/>
      <c r="G139" s="485"/>
      <c r="H139" s="23"/>
      <c r="I139" s="24"/>
      <c r="J139" s="24"/>
      <c r="K139" s="24"/>
      <c r="L139" s="24"/>
      <c r="M139" s="25"/>
      <c r="N139" s="25"/>
      <c r="O139" s="195"/>
    </row>
    <row r="140" spans="1:16" ht="15.95" customHeight="1" x14ac:dyDescent="0.25">
      <c r="A140" s="121"/>
      <c r="B140" s="23"/>
      <c r="C140" s="63"/>
      <c r="D140" s="64"/>
      <c r="E140" s="24"/>
      <c r="F140" s="480"/>
      <c r="G140" s="485"/>
      <c r="H140" s="23"/>
      <c r="I140" s="24"/>
      <c r="J140" s="24"/>
      <c r="K140" s="24"/>
      <c r="L140" s="24"/>
      <c r="M140" s="25"/>
      <c r="N140" s="25"/>
      <c r="O140" s="195"/>
    </row>
    <row r="141" spans="1:16" ht="15.95" customHeight="1" x14ac:dyDescent="0.25">
      <c r="A141" s="121"/>
      <c r="B141" s="23"/>
      <c r="C141" s="24"/>
      <c r="D141" s="24"/>
      <c r="E141" s="24"/>
      <c r="F141" s="480"/>
      <c r="G141" s="485"/>
      <c r="H141" s="23"/>
      <c r="I141" s="24"/>
      <c r="J141" s="24"/>
      <c r="K141" s="24"/>
      <c r="L141" s="24"/>
      <c r="M141" s="25"/>
      <c r="N141" s="25"/>
      <c r="O141" s="195"/>
    </row>
    <row r="142" spans="1:16" ht="15.95" customHeight="1" x14ac:dyDescent="0.25">
      <c r="A142" s="121"/>
      <c r="B142" s="23"/>
      <c r="C142" s="24"/>
      <c r="D142" s="24"/>
      <c r="E142" s="24"/>
      <c r="F142" s="480"/>
      <c r="G142" s="485"/>
      <c r="H142" s="23"/>
      <c r="I142" s="24"/>
      <c r="J142" s="24"/>
      <c r="K142" s="24"/>
      <c r="L142" s="24"/>
      <c r="M142" s="25"/>
      <c r="N142" s="25"/>
      <c r="O142" s="195"/>
    </row>
    <row r="143" spans="1:16" ht="15.95" customHeight="1" x14ac:dyDescent="0.25">
      <c r="A143" s="121"/>
      <c r="B143" s="23"/>
      <c r="C143" s="24"/>
      <c r="D143" s="24"/>
      <c r="E143" s="24"/>
      <c r="F143" s="480"/>
      <c r="G143" s="485"/>
      <c r="H143" s="26"/>
      <c r="I143" s="27"/>
      <c r="J143" s="27"/>
      <c r="K143" s="27"/>
      <c r="L143" s="27"/>
      <c r="M143" s="28"/>
      <c r="N143" s="25"/>
      <c r="O143" s="195"/>
    </row>
    <row r="144" spans="1:16" ht="15.95" customHeight="1" x14ac:dyDescent="0.25">
      <c r="A144" s="121"/>
      <c r="B144" s="23"/>
      <c r="C144" s="24"/>
      <c r="D144" s="24"/>
      <c r="E144" s="24"/>
      <c r="F144" s="480"/>
      <c r="G144" s="480"/>
      <c r="H144" s="24"/>
      <c r="I144" s="24"/>
      <c r="J144" s="24"/>
      <c r="K144" s="24"/>
      <c r="L144" s="24"/>
      <c r="M144" s="24"/>
      <c r="N144" s="25"/>
      <c r="O144" s="195"/>
    </row>
    <row r="145" spans="1:17" ht="15.95" customHeight="1" x14ac:dyDescent="0.25">
      <c r="A145" s="121"/>
      <c r="B145" s="635" t="s">
        <v>388</v>
      </c>
      <c r="C145" s="636"/>
      <c r="D145" s="636"/>
      <c r="E145" s="636"/>
      <c r="F145" s="636"/>
      <c r="G145" s="636"/>
      <c r="H145" s="636"/>
      <c r="I145" s="636"/>
      <c r="J145" s="636"/>
      <c r="K145" s="636"/>
      <c r="L145" s="636"/>
      <c r="M145" s="636"/>
      <c r="N145" s="637"/>
      <c r="O145" s="195"/>
    </row>
    <row r="146" spans="1:17" ht="20.100000000000001" customHeight="1" x14ac:dyDescent="0.25">
      <c r="A146" s="121"/>
      <c r="B146" s="23"/>
      <c r="C146" s="24"/>
      <c r="D146" s="24"/>
      <c r="E146" s="24"/>
      <c r="F146" s="483"/>
      <c r="G146" s="484"/>
      <c r="H146" s="31"/>
      <c r="I146" s="31"/>
      <c r="J146" s="24"/>
      <c r="K146" s="24"/>
      <c r="L146" s="24"/>
      <c r="M146" s="24"/>
      <c r="N146" s="25"/>
      <c r="O146" s="195"/>
    </row>
    <row r="147" spans="1:17" ht="15.95" customHeight="1" x14ac:dyDescent="0.25">
      <c r="A147" s="121"/>
      <c r="B147" s="23"/>
      <c r="C147" s="638" t="s">
        <v>37</v>
      </c>
      <c r="D147" s="639"/>
      <c r="E147" s="640"/>
      <c r="F147" s="483"/>
      <c r="G147" s="484"/>
      <c r="H147" s="641" t="s">
        <v>28</v>
      </c>
      <c r="I147" s="642"/>
      <c r="J147" s="39">
        <f ca="1">D166-SUMIF(H154:H163,"&lt;"&amp;$M$4,K154:K161)</f>
        <v>0</v>
      </c>
      <c r="K147" s="24"/>
      <c r="L147" s="24"/>
      <c r="M147" s="24"/>
      <c r="N147" s="25"/>
      <c r="O147" s="195"/>
    </row>
    <row r="148" spans="1:17" ht="15.95" customHeight="1" x14ac:dyDescent="0.25">
      <c r="A148" s="121"/>
      <c r="B148" s="23"/>
      <c r="C148" s="58"/>
      <c r="D148" s="664"/>
      <c r="E148" s="665"/>
      <c r="F148" s="483"/>
      <c r="G148" s="484"/>
      <c r="H148" s="645" t="s">
        <v>29</v>
      </c>
      <c r="I148" s="646"/>
      <c r="J148" s="40">
        <f>D165</f>
        <v>45408</v>
      </c>
      <c r="K148" s="24"/>
      <c r="L148" s="24"/>
      <c r="M148" s="24"/>
      <c r="N148" s="25"/>
      <c r="O148" s="194" t="str">
        <f>+D190</f>
        <v>ON Pyme CNV Garantizada</v>
      </c>
    </row>
    <row r="149" spans="1:17" ht="15.95" customHeight="1" x14ac:dyDescent="0.25">
      <c r="A149" s="121"/>
      <c r="B149" s="23"/>
      <c r="C149" s="59" t="s">
        <v>25</v>
      </c>
      <c r="D149" s="658"/>
      <c r="E149" s="659"/>
      <c r="F149" s="483"/>
      <c r="G149" s="484"/>
      <c r="H149" s="649" t="s">
        <v>30</v>
      </c>
      <c r="I149" s="650"/>
      <c r="J149" s="42" t="s">
        <v>523</v>
      </c>
      <c r="L149" s="24"/>
      <c r="M149" s="24"/>
      <c r="N149" s="25"/>
      <c r="O149" s="195"/>
    </row>
    <row r="150" spans="1:17" ht="15.95" customHeight="1" x14ac:dyDescent="0.25">
      <c r="A150" s="121"/>
      <c r="B150" s="23"/>
      <c r="C150" s="59" t="s">
        <v>6</v>
      </c>
      <c r="D150" s="658" t="s">
        <v>389</v>
      </c>
      <c r="E150" s="659"/>
      <c r="F150" s="483"/>
      <c r="G150" s="484"/>
      <c r="H150" s="24"/>
      <c r="I150" s="24"/>
      <c r="J150" s="24"/>
      <c r="K150" s="24"/>
      <c r="L150" s="24"/>
      <c r="M150" s="24"/>
      <c r="N150" s="25"/>
      <c r="O150" s="194" t="str">
        <f>+IF(J188="vencida",IF(D190='Reporte - Oscuro'!$C$40,'Reporte - Oscuro'!$C$40&amp;" vencida",IF(D190='Reporte - Oscuro'!$C$41,'Reporte - Oscuro'!$C$41&amp;" vencida",IF(D190='Reporte - Oscuro'!$C$42,'Reporte - Oscuro'!$C$42&amp;" vencida",'Reporte - Oscuro'!$C$43&amp;" vencida"))),D190&amp;" vigente")</f>
        <v>ON Pyme CNV Garantizada vencida</v>
      </c>
    </row>
    <row r="151" spans="1:17" ht="15.95" customHeight="1" x14ac:dyDescent="0.25">
      <c r="A151" s="121"/>
      <c r="B151" s="23"/>
      <c r="C151" s="59" t="s">
        <v>8</v>
      </c>
      <c r="D151" s="658" t="s">
        <v>17</v>
      </c>
      <c r="E151" s="659"/>
      <c r="F151" s="483"/>
      <c r="G151" s="484"/>
      <c r="H151" s="651" t="s">
        <v>41</v>
      </c>
      <c r="I151" s="652"/>
      <c r="J151" s="652"/>
      <c r="K151" s="652"/>
      <c r="L151" s="653"/>
      <c r="M151" s="24"/>
      <c r="N151" s="25"/>
      <c r="O151" s="195"/>
    </row>
    <row r="152" spans="1:17" ht="15.95" customHeight="1" x14ac:dyDescent="0.25">
      <c r="A152" s="121"/>
      <c r="B152" s="23"/>
      <c r="C152" s="59" t="s">
        <v>33</v>
      </c>
      <c r="D152" s="73" t="s">
        <v>309</v>
      </c>
      <c r="E152" s="273">
        <v>1</v>
      </c>
      <c r="F152" s="483">
        <f ca="1">+E152*J147</f>
        <v>0</v>
      </c>
      <c r="G152" s="484"/>
      <c r="H152" s="81" t="s">
        <v>0</v>
      </c>
      <c r="I152" s="82" t="s">
        <v>2</v>
      </c>
      <c r="J152" s="82" t="s">
        <v>3</v>
      </c>
      <c r="K152" s="82" t="s">
        <v>4</v>
      </c>
      <c r="L152" s="83" t="s">
        <v>5</v>
      </c>
      <c r="M152" s="82" t="s">
        <v>44</v>
      </c>
      <c r="N152" s="25"/>
      <c r="O152" s="195"/>
    </row>
    <row r="153" spans="1:17" ht="15.95" customHeight="1" x14ac:dyDescent="0.25">
      <c r="A153" s="121"/>
      <c r="B153" s="23"/>
      <c r="C153" s="278" t="s">
        <v>33</v>
      </c>
      <c r="D153" s="73"/>
      <c r="E153" s="273"/>
      <c r="F153" s="483">
        <f>+E153*$J$2222</f>
        <v>0</v>
      </c>
      <c r="G153" s="484"/>
      <c r="H153" s="45"/>
      <c r="I153" s="46"/>
      <c r="J153" s="46"/>
      <c r="K153" s="46"/>
      <c r="L153" s="47"/>
      <c r="M153" s="101"/>
      <c r="N153" s="25"/>
      <c r="O153" s="195"/>
    </row>
    <row r="154" spans="1:17" ht="15.95" customHeight="1" x14ac:dyDescent="0.25">
      <c r="A154" s="121"/>
      <c r="B154" s="23"/>
      <c r="C154" s="59" t="s">
        <v>34</v>
      </c>
      <c r="D154" s="658" t="s">
        <v>48</v>
      </c>
      <c r="E154" s="659"/>
      <c r="F154" s="483"/>
      <c r="G154" s="484"/>
      <c r="H154" s="48">
        <f>D164</f>
        <v>44495</v>
      </c>
      <c r="I154" s="46"/>
      <c r="J154" s="49"/>
      <c r="K154" s="49"/>
      <c r="L154" s="50">
        <f>+D166</f>
        <v>29000000</v>
      </c>
      <c r="M154" s="102">
        <f>-L154</f>
        <v>-29000000</v>
      </c>
      <c r="N154" s="25"/>
      <c r="O154" s="195"/>
    </row>
    <row r="155" spans="1:17" ht="15.95" customHeight="1" x14ac:dyDescent="0.25">
      <c r="A155" s="121"/>
      <c r="B155" s="23"/>
      <c r="C155" s="79" t="s">
        <v>38</v>
      </c>
      <c r="D155" s="75"/>
      <c r="E155" s="76"/>
      <c r="F155" s="483"/>
      <c r="G155" s="484"/>
      <c r="H155" s="51">
        <v>44677</v>
      </c>
      <c r="I155" s="415" t="s">
        <v>13</v>
      </c>
      <c r="J155" s="52">
        <f>L154*($P$4+D169)*(H155-H154)/365</f>
        <v>5594318.493150685</v>
      </c>
      <c r="K155" s="52">
        <f>L154*D172</f>
        <v>4350000</v>
      </c>
      <c r="L155" s="53">
        <f>+L154-K155</f>
        <v>24650000</v>
      </c>
      <c r="M155" s="103">
        <f>+J155+K155</f>
        <v>9944318.493150685</v>
      </c>
      <c r="N155" s="25"/>
      <c r="O155" s="197">
        <f>+M193</f>
        <v>-33000000</v>
      </c>
      <c r="P155" s="197">
        <f>-M193</f>
        <v>33000000</v>
      </c>
      <c r="Q155" s="197"/>
    </row>
    <row r="156" spans="1:17" ht="15.95" customHeight="1" x14ac:dyDescent="0.25">
      <c r="A156" s="121"/>
      <c r="B156" s="23"/>
      <c r="C156" s="59"/>
      <c r="D156" s="399"/>
      <c r="E156" s="271"/>
      <c r="F156" s="483"/>
      <c r="G156" s="484"/>
      <c r="H156" s="51">
        <v>44860</v>
      </c>
      <c r="I156" s="415" t="s">
        <v>13</v>
      </c>
      <c r="J156" s="52">
        <f t="shared" ref="J156:J159" si="15">L155*($P$4+D170)*(H156-H155)/365</f>
        <v>3977978.1678082198</v>
      </c>
      <c r="K156" s="52">
        <v>4350000</v>
      </c>
      <c r="L156" s="53">
        <f>+L155-K156</f>
        <v>20300000</v>
      </c>
      <c r="M156" s="103">
        <f>+J156+K156</f>
        <v>8327978.1678082198</v>
      </c>
      <c r="N156" s="25"/>
      <c r="O156" s="197">
        <f t="shared" ref="O156:O161" si="16">+M194+O155</f>
        <v>-26759333.333333332</v>
      </c>
      <c r="P156" s="197">
        <f t="shared" ref="P156:P161" si="17">+(M194/(1+$J$203)^((H194-$H$193)/365))/$P$155</f>
        <v>0.18911111111111112</v>
      </c>
      <c r="Q156" s="197">
        <f t="shared" ref="Q156:Q161" si="18">+P156*((H194-$H$193)/365)</f>
        <v>9.533272450532726E-2</v>
      </c>
    </row>
    <row r="157" spans="1:17" ht="15.95" customHeight="1" x14ac:dyDescent="0.25">
      <c r="A157" s="121"/>
      <c r="B157" s="23"/>
      <c r="C157" s="59"/>
      <c r="D157" s="399"/>
      <c r="E157" s="271"/>
      <c r="F157" s="483"/>
      <c r="G157" s="484"/>
      <c r="H157" s="51">
        <v>45042</v>
      </c>
      <c r="I157" s="415" t="s">
        <v>13</v>
      </c>
      <c r="J157" s="52">
        <f t="shared" si="15"/>
        <v>3258080.4794520549</v>
      </c>
      <c r="K157" s="52">
        <v>4350000</v>
      </c>
      <c r="L157" s="53">
        <f>+L156-K157</f>
        <v>15950000</v>
      </c>
      <c r="M157" s="103">
        <f>+J157+K157</f>
        <v>7608080.4794520549</v>
      </c>
      <c r="N157" s="25"/>
      <c r="O157" s="197">
        <f t="shared" si="16"/>
        <v>-15670416.666666664</v>
      </c>
      <c r="P157" s="197">
        <f t="shared" si="17"/>
        <v>0.33602777777777781</v>
      </c>
      <c r="Q157" s="197">
        <f t="shared" si="18"/>
        <v>0.33602777777777781</v>
      </c>
    </row>
    <row r="158" spans="1:17" ht="15.95" customHeight="1" x14ac:dyDescent="0.25">
      <c r="A158" s="121"/>
      <c r="B158" s="32"/>
      <c r="C158" s="60"/>
      <c r="D158" s="400" t="str">
        <f>+B145</f>
        <v>Agroideas I</v>
      </c>
      <c r="E158" s="401"/>
      <c r="F158" s="483"/>
      <c r="G158" s="484">
        <f ca="1">+J147</f>
        <v>0</v>
      </c>
      <c r="H158" s="51">
        <v>45225</v>
      </c>
      <c r="I158" s="415" t="s">
        <v>13</v>
      </c>
      <c r="J158" s="52">
        <f t="shared" si="15"/>
        <v>3773513.270547946</v>
      </c>
      <c r="K158" s="52">
        <v>4350000</v>
      </c>
      <c r="L158" s="53">
        <f>+L157-K158</f>
        <v>11600000</v>
      </c>
      <c r="M158" s="103">
        <f>+J158+K158</f>
        <v>8123513.270547946</v>
      </c>
      <c r="N158" s="25"/>
      <c r="O158" s="197">
        <f t="shared" si="16"/>
        <v>-5415849.9999999963</v>
      </c>
      <c r="P158" s="197">
        <f t="shared" si="17"/>
        <v>0.31074444444444449</v>
      </c>
      <c r="Q158" s="197">
        <f t="shared" si="18"/>
        <v>0.46739369863013702</v>
      </c>
    </row>
    <row r="159" spans="1:17" ht="15.95" customHeight="1" x14ac:dyDescent="0.25">
      <c r="A159" s="121"/>
      <c r="B159" s="32"/>
      <c r="C159" s="150"/>
      <c r="D159" s="272"/>
      <c r="E159" s="272"/>
      <c r="F159" s="483"/>
      <c r="G159" s="484"/>
      <c r="H159" s="51">
        <v>45408</v>
      </c>
      <c r="I159" s="415" t="s">
        <v>13</v>
      </c>
      <c r="J159" s="52">
        <f t="shared" si="15"/>
        <v>4198345.8904109597</v>
      </c>
      <c r="K159" s="52">
        <f>L154*D173</f>
        <v>11600000</v>
      </c>
      <c r="L159" s="53">
        <f t="shared" ref="L159" si="19">+L158-K159</f>
        <v>0</v>
      </c>
      <c r="M159" s="103">
        <f t="shared" ref="M159" si="20">+J159+K159</f>
        <v>15798345.89041096</v>
      </c>
      <c r="N159" s="25"/>
      <c r="O159" s="197">
        <f t="shared" si="16"/>
        <v>5505133.3333333358</v>
      </c>
      <c r="P159" s="197">
        <f t="shared" si="17"/>
        <v>0.33093888888888884</v>
      </c>
      <c r="Q159" s="197">
        <f t="shared" si="18"/>
        <v>0.66278445966514454</v>
      </c>
    </row>
    <row r="160" spans="1:17" ht="15.95" customHeight="1" x14ac:dyDescent="0.25">
      <c r="A160" s="121"/>
      <c r="B160" s="32"/>
      <c r="C160" s="638" t="s">
        <v>36</v>
      </c>
      <c r="D160" s="640"/>
      <c r="E160" s="272"/>
      <c r="F160" s="483"/>
      <c r="G160" s="484"/>
      <c r="H160" s="51"/>
      <c r="I160" s="415"/>
      <c r="J160" s="52"/>
      <c r="K160" s="52"/>
      <c r="L160" s="53"/>
      <c r="M160" s="103"/>
      <c r="N160" s="25"/>
      <c r="O160" s="197">
        <f t="shared" si="16"/>
        <v>15259383.333333336</v>
      </c>
      <c r="P160" s="197">
        <f t="shared" si="17"/>
        <v>0.29558333333333331</v>
      </c>
      <c r="Q160" s="197">
        <f t="shared" si="18"/>
        <v>0.74260251141552502</v>
      </c>
    </row>
    <row r="161" spans="1:17" ht="15.95" customHeight="1" x14ac:dyDescent="0.25">
      <c r="A161" s="121"/>
      <c r="B161" s="32"/>
      <c r="C161" s="59"/>
      <c r="D161" s="62"/>
      <c r="E161" s="272"/>
      <c r="F161" s="483"/>
      <c r="G161" s="484"/>
      <c r="H161" s="51"/>
      <c r="I161" s="415"/>
      <c r="J161" s="52"/>
      <c r="K161" s="52"/>
      <c r="L161" s="53"/>
      <c r="M161" s="103"/>
      <c r="N161" s="25"/>
      <c r="O161" s="197">
        <f t="shared" si="16"/>
        <v>26980708.333333336</v>
      </c>
      <c r="P161" s="197">
        <f t="shared" si="17"/>
        <v>0.35519166666666668</v>
      </c>
      <c r="Q161" s="197">
        <f t="shared" si="18"/>
        <v>1.0665481278538813</v>
      </c>
    </row>
    <row r="162" spans="1:17" ht="15.95" customHeight="1" x14ac:dyDescent="0.25">
      <c r="A162" s="121"/>
      <c r="B162" s="32"/>
      <c r="C162" s="59" t="s">
        <v>9</v>
      </c>
      <c r="D162" s="98" t="s">
        <v>18</v>
      </c>
      <c r="E162" s="272"/>
      <c r="F162" s="483"/>
      <c r="G162" s="484"/>
      <c r="H162" s="51"/>
      <c r="I162" s="415"/>
      <c r="J162" s="52"/>
      <c r="K162" s="52"/>
      <c r="L162" s="53"/>
      <c r="M162" s="103"/>
      <c r="N162" s="25"/>
      <c r="O162" s="195"/>
      <c r="P162" s="29"/>
    </row>
    <row r="163" spans="1:17" ht="15.95" customHeight="1" x14ac:dyDescent="0.25">
      <c r="A163" s="121"/>
      <c r="B163" s="23"/>
      <c r="C163" s="59" t="s">
        <v>10</v>
      </c>
      <c r="D163" s="65">
        <v>44483</v>
      </c>
      <c r="E163" s="272"/>
      <c r="F163" s="483"/>
      <c r="G163" s="484"/>
      <c r="H163" s="51"/>
      <c r="I163" s="61"/>
      <c r="J163" s="105"/>
      <c r="K163" s="105"/>
      <c r="L163" s="106"/>
      <c r="M163" s="402"/>
      <c r="N163" s="25"/>
      <c r="O163" s="195"/>
      <c r="P163" s="29"/>
    </row>
    <row r="164" spans="1:17" ht="15.95" customHeight="1" x14ac:dyDescent="0.25">
      <c r="A164" s="121"/>
      <c r="B164" s="23"/>
      <c r="C164" s="59" t="s">
        <v>11</v>
      </c>
      <c r="D164" s="65">
        <v>44495</v>
      </c>
      <c r="E164" s="36"/>
      <c r="F164" s="483"/>
      <c r="G164" s="484"/>
      <c r="H164" s="109"/>
      <c r="I164" s="109"/>
      <c r="J164" s="109"/>
      <c r="K164" s="109"/>
      <c r="L164" s="109"/>
      <c r="M164" s="109"/>
      <c r="N164" s="25"/>
      <c r="O164" s="195"/>
      <c r="P164" s="29"/>
    </row>
    <row r="165" spans="1:17" ht="15.95" customHeight="1" x14ac:dyDescent="0.25">
      <c r="A165" s="121"/>
      <c r="B165" s="23"/>
      <c r="C165" s="59" t="s">
        <v>12</v>
      </c>
      <c r="D165" s="65">
        <v>45408</v>
      </c>
      <c r="E165" s="36"/>
      <c r="F165" s="483"/>
      <c r="G165" s="484"/>
      <c r="H165" s="656" t="s">
        <v>43</v>
      </c>
      <c r="I165" s="656"/>
      <c r="J165" s="92">
        <v>0</v>
      </c>
      <c r="K165" s="92"/>
      <c r="L165" s="24"/>
      <c r="M165" s="24"/>
      <c r="N165" s="25"/>
      <c r="O165" s="195"/>
    </row>
    <row r="166" spans="1:17" ht="15.95" customHeight="1" x14ac:dyDescent="0.25">
      <c r="A166" s="121"/>
      <c r="B166" s="23"/>
      <c r="C166" s="59" t="s">
        <v>27</v>
      </c>
      <c r="D166" s="66">
        <v>29000000</v>
      </c>
      <c r="E166" s="36"/>
      <c r="F166" s="483"/>
      <c r="G166" s="484"/>
      <c r="H166" s="657"/>
      <c r="I166" s="657"/>
      <c r="J166" s="33"/>
      <c r="K166" s="24"/>
      <c r="L166" s="33"/>
      <c r="M166" s="33"/>
      <c r="N166" s="25"/>
      <c r="O166" s="195"/>
      <c r="P166" s="37"/>
    </row>
    <row r="167" spans="1:17" ht="15.95" customHeight="1" x14ac:dyDescent="0.25">
      <c r="A167" s="121"/>
      <c r="B167" s="23"/>
      <c r="C167" s="59" t="s">
        <v>26</v>
      </c>
      <c r="D167" s="66">
        <v>6</v>
      </c>
      <c r="E167" s="36"/>
      <c r="F167" s="483"/>
      <c r="G167" s="484"/>
      <c r="H167" s="24"/>
      <c r="I167" s="24"/>
      <c r="J167" s="24"/>
      <c r="K167" s="24"/>
      <c r="L167" s="24"/>
      <c r="M167" s="24"/>
      <c r="N167" s="25"/>
      <c r="O167" s="195"/>
    </row>
    <row r="168" spans="1:17" ht="15.95" customHeight="1" x14ac:dyDescent="0.25">
      <c r="A168" s="121"/>
      <c r="B168" s="23"/>
      <c r="C168" s="59" t="s">
        <v>19</v>
      </c>
      <c r="D168" s="67" t="s">
        <v>20</v>
      </c>
      <c r="E168" s="36"/>
      <c r="F168" s="483"/>
      <c r="G168" s="484"/>
      <c r="H168" s="638" t="s">
        <v>44</v>
      </c>
      <c r="I168" s="639"/>
      <c r="J168" s="639"/>
      <c r="K168" s="639"/>
      <c r="L168" s="639"/>
      <c r="M168" s="640"/>
      <c r="N168" s="25"/>
      <c r="O168" s="195"/>
    </row>
    <row r="169" spans="1:17" ht="15.95" customHeight="1" x14ac:dyDescent="0.25">
      <c r="A169" s="121"/>
      <c r="B169" s="23"/>
      <c r="C169" s="59" t="s">
        <v>14</v>
      </c>
      <c r="D169" s="68">
        <v>6.5000000000000002E-2</v>
      </c>
      <c r="E169" s="36"/>
      <c r="F169" s="480"/>
      <c r="G169" s="484"/>
      <c r="H169" s="23"/>
      <c r="I169" s="24"/>
      <c r="J169" s="24"/>
      <c r="K169" s="24"/>
      <c r="L169" s="24"/>
      <c r="M169" s="25"/>
      <c r="N169" s="25"/>
      <c r="O169" s="195"/>
    </row>
    <row r="170" spans="1:17" ht="15.95" customHeight="1" x14ac:dyDescent="0.25">
      <c r="A170" s="121"/>
      <c r="B170" s="23"/>
      <c r="C170" s="59" t="s">
        <v>31</v>
      </c>
      <c r="D170" s="68"/>
      <c r="E170" s="41"/>
      <c r="F170" s="480"/>
      <c r="G170" s="484"/>
      <c r="H170" s="23"/>
      <c r="I170" s="24"/>
      <c r="J170" s="24"/>
      <c r="K170" s="24"/>
      <c r="L170" s="24"/>
      <c r="M170" s="25"/>
      <c r="N170" s="25"/>
      <c r="O170" s="195"/>
    </row>
    <row r="171" spans="1:17" ht="15.95" customHeight="1" x14ac:dyDescent="0.25">
      <c r="A171" s="121"/>
      <c r="B171" s="23"/>
      <c r="C171" s="59" t="s">
        <v>32</v>
      </c>
      <c r="D171" s="68"/>
      <c r="E171" s="36"/>
      <c r="F171" s="480"/>
      <c r="G171" s="484"/>
      <c r="H171" s="96"/>
      <c r="I171" s="35"/>
      <c r="J171" s="24"/>
      <c r="K171" s="24"/>
      <c r="L171" s="24"/>
      <c r="M171" s="25"/>
      <c r="N171" s="25"/>
      <c r="O171" s="195"/>
    </row>
    <row r="172" spans="1:17" ht="15.95" customHeight="1" x14ac:dyDescent="0.25">
      <c r="A172" s="121"/>
      <c r="B172" s="23"/>
      <c r="C172" s="59" t="s">
        <v>249</v>
      </c>
      <c r="D172" s="68">
        <v>0.15</v>
      </c>
      <c r="E172" s="43"/>
      <c r="F172" s="480"/>
      <c r="G172" s="484"/>
      <c r="H172" s="23"/>
      <c r="I172" s="24"/>
      <c r="J172" s="24"/>
      <c r="K172" s="24"/>
      <c r="L172" s="24"/>
      <c r="M172" s="25"/>
      <c r="N172" s="25"/>
      <c r="O172" s="195"/>
    </row>
    <row r="173" spans="1:17" ht="15.95" customHeight="1" x14ac:dyDescent="0.25">
      <c r="A173" s="121"/>
      <c r="B173" s="23"/>
      <c r="C173" s="60" t="s">
        <v>42</v>
      </c>
      <c r="D173" s="110">
        <v>0.4</v>
      </c>
      <c r="E173" s="43"/>
      <c r="F173" s="480"/>
      <c r="G173" s="484"/>
      <c r="H173" s="23"/>
      <c r="I173" s="24"/>
      <c r="J173" s="24"/>
      <c r="K173" s="24"/>
      <c r="L173" s="24"/>
      <c r="M173" s="25"/>
      <c r="N173" s="25"/>
      <c r="O173" s="195"/>
    </row>
    <row r="174" spans="1:17" ht="15.95" customHeight="1" x14ac:dyDescent="0.25">
      <c r="A174" s="121"/>
      <c r="B174" s="23"/>
      <c r="E174" s="43"/>
      <c r="F174" s="480"/>
      <c r="G174" s="484"/>
      <c r="H174" s="23"/>
      <c r="I174" s="24"/>
      <c r="J174" s="24"/>
      <c r="K174" s="24"/>
      <c r="L174" s="24"/>
      <c r="M174" s="25"/>
      <c r="N174" s="25"/>
      <c r="O174" s="195"/>
    </row>
    <row r="175" spans="1:17" ht="15.95" customHeight="1" x14ac:dyDescent="0.25">
      <c r="A175" s="121"/>
      <c r="B175" s="23"/>
      <c r="E175" s="44"/>
      <c r="F175" s="480"/>
      <c r="G175" s="484"/>
      <c r="H175" s="23"/>
      <c r="I175" s="24"/>
      <c r="J175" s="24"/>
      <c r="K175" s="24"/>
      <c r="L175" s="24"/>
      <c r="M175" s="25"/>
      <c r="N175" s="25"/>
      <c r="O175" s="195"/>
    </row>
    <row r="176" spans="1:17" ht="15.95" customHeight="1" x14ac:dyDescent="0.25">
      <c r="A176" s="121"/>
      <c r="B176" s="23"/>
      <c r="E176" s="24"/>
      <c r="F176" s="480"/>
      <c r="G176" s="484"/>
      <c r="H176" s="23"/>
      <c r="I176" s="24"/>
      <c r="J176" s="24"/>
      <c r="K176" s="24"/>
      <c r="L176" s="24"/>
      <c r="M176" s="25"/>
      <c r="N176" s="25"/>
      <c r="O176" s="195"/>
    </row>
    <row r="177" spans="1:15" ht="15.95" customHeight="1" x14ac:dyDescent="0.25">
      <c r="A177" s="121"/>
      <c r="B177" s="23"/>
      <c r="E177" s="24"/>
      <c r="F177" s="480"/>
      <c r="G177" s="484"/>
      <c r="H177" s="23"/>
      <c r="I177" s="24"/>
      <c r="J177" s="24"/>
      <c r="K177" s="24"/>
      <c r="L177" s="24"/>
      <c r="M177" s="25"/>
      <c r="N177" s="25"/>
      <c r="O177" s="195"/>
    </row>
    <row r="178" spans="1:15" ht="15.95" customHeight="1" x14ac:dyDescent="0.25">
      <c r="A178" s="121"/>
      <c r="B178" s="23"/>
      <c r="C178" s="24"/>
      <c r="D178" s="24"/>
      <c r="E178" s="24"/>
      <c r="F178" s="480"/>
      <c r="G178" s="485"/>
      <c r="H178" s="23"/>
      <c r="I178" s="24"/>
      <c r="J178" s="24"/>
      <c r="K178" s="24"/>
      <c r="L178" s="24"/>
      <c r="M178" s="25"/>
      <c r="N178" s="25"/>
      <c r="O178" s="195"/>
    </row>
    <row r="179" spans="1:15" ht="15.95" customHeight="1" x14ac:dyDescent="0.25">
      <c r="A179" s="121"/>
      <c r="B179" s="23"/>
      <c r="C179" s="24"/>
      <c r="D179" s="24"/>
      <c r="E179" s="24"/>
      <c r="F179" s="480"/>
      <c r="G179" s="485"/>
      <c r="H179" s="23"/>
      <c r="I179" s="24"/>
      <c r="J179" s="24"/>
      <c r="K179" s="24"/>
      <c r="L179" s="24"/>
      <c r="M179" s="25"/>
      <c r="N179" s="25"/>
      <c r="O179" s="195"/>
    </row>
    <row r="180" spans="1:15" ht="15.95" customHeight="1" x14ac:dyDescent="0.25">
      <c r="A180" s="121"/>
      <c r="B180" s="23"/>
      <c r="C180" s="24"/>
      <c r="D180" s="24"/>
      <c r="E180" s="24"/>
      <c r="F180" s="480"/>
      <c r="G180" s="485"/>
      <c r="H180" s="23"/>
      <c r="I180" s="24"/>
      <c r="J180" s="24"/>
      <c r="K180" s="24"/>
      <c r="L180" s="24"/>
      <c r="M180" s="25"/>
      <c r="N180" s="25"/>
      <c r="O180" s="195"/>
    </row>
    <row r="181" spans="1:15" ht="15.95" customHeight="1" x14ac:dyDescent="0.25">
      <c r="A181" s="121"/>
      <c r="B181" s="23"/>
      <c r="C181" s="24"/>
      <c r="D181" s="24"/>
      <c r="E181" s="24"/>
      <c r="F181" s="480"/>
      <c r="G181" s="485"/>
      <c r="H181" s="26"/>
      <c r="I181" s="27"/>
      <c r="J181" s="27"/>
      <c r="K181" s="27"/>
      <c r="L181" s="27"/>
      <c r="M181" s="28"/>
      <c r="N181" s="25"/>
      <c r="O181" s="195"/>
    </row>
    <row r="182" spans="1:15" ht="15.95" customHeight="1" x14ac:dyDescent="0.25">
      <c r="A182" s="121"/>
      <c r="B182" s="26"/>
      <c r="C182" s="27"/>
      <c r="D182" s="27"/>
      <c r="E182" s="27"/>
      <c r="F182" s="481"/>
      <c r="G182" s="486"/>
      <c r="H182" s="27"/>
      <c r="I182" s="27"/>
      <c r="J182" s="27"/>
      <c r="K182" s="27"/>
      <c r="L182" s="27"/>
      <c r="M182" s="27"/>
      <c r="N182" s="28"/>
      <c r="O182" s="195"/>
    </row>
    <row r="183" spans="1:15" ht="15.95" customHeight="1" x14ac:dyDescent="0.25">
      <c r="A183" s="121"/>
      <c r="B183" s="26"/>
      <c r="C183" s="27"/>
      <c r="D183" s="27"/>
      <c r="E183" s="27"/>
      <c r="F183" s="481"/>
      <c r="G183" s="486"/>
      <c r="H183" s="27"/>
      <c r="I183" s="27"/>
      <c r="J183" s="27"/>
      <c r="K183" s="27"/>
      <c r="L183" s="27"/>
      <c r="M183" s="27"/>
      <c r="N183" s="28"/>
      <c r="O183" s="194" t="str">
        <f>+D225</f>
        <v>ON Pyme CNV Garantizada</v>
      </c>
    </row>
    <row r="184" spans="1:15" ht="15.95" customHeight="1" x14ac:dyDescent="0.25">
      <c r="A184" s="121"/>
      <c r="B184" s="661" t="s">
        <v>56</v>
      </c>
      <c r="C184" s="662"/>
      <c r="D184" s="662"/>
      <c r="E184" s="662"/>
      <c r="F184" s="662"/>
      <c r="G184" s="662"/>
      <c r="H184" s="662"/>
      <c r="I184" s="662"/>
      <c r="J184" s="662"/>
      <c r="K184" s="662"/>
      <c r="L184" s="662"/>
      <c r="M184" s="662"/>
      <c r="N184" s="663"/>
      <c r="O184" s="195"/>
    </row>
    <row r="185" spans="1:15" ht="15.95" customHeight="1" x14ac:dyDescent="0.25">
      <c r="A185" s="121"/>
      <c r="B185" s="23"/>
      <c r="C185" s="24"/>
      <c r="D185" s="24"/>
      <c r="E185" s="24"/>
      <c r="F185" s="483"/>
      <c r="G185" s="484"/>
      <c r="H185" s="31"/>
      <c r="I185" s="31"/>
      <c r="J185" s="24"/>
      <c r="K185" s="24"/>
      <c r="L185" s="24"/>
      <c r="M185" s="24"/>
      <c r="N185" s="25"/>
      <c r="O185" s="194" t="str">
        <f>+IF(J223="vencida",IF(D225='Reporte - Oscuro'!$C$40,'Reporte - Oscuro'!$C$40&amp;" vencida",IF(D225='Reporte - Oscuro'!$C$41,'Reporte - Oscuro'!$C$41&amp;" vencida",IF(D225='Reporte - Oscuro'!$C$42,'Reporte - Oscuro'!$C$42&amp;" vencida",'Reporte - Oscuro'!$C$43&amp;" vencida"))),D225&amp;" vigente")</f>
        <v>ON Pyme CNV Garantizada vencida</v>
      </c>
    </row>
    <row r="186" spans="1:15" ht="15.95" customHeight="1" x14ac:dyDescent="0.25">
      <c r="A186" s="121"/>
      <c r="B186" s="23"/>
      <c r="C186" s="638" t="s">
        <v>37</v>
      </c>
      <c r="D186" s="639"/>
      <c r="E186" s="640"/>
      <c r="F186" s="483"/>
      <c r="G186" s="484"/>
      <c r="H186" s="641" t="s">
        <v>28</v>
      </c>
      <c r="I186" s="642"/>
      <c r="J186" s="39">
        <f t="array" ref="J186">+$D$206-SUMIF($H$192:$H$200,"&lt;"&amp;$M$4,$K$192:$K$200)</f>
        <v>0</v>
      </c>
      <c r="K186" s="24"/>
      <c r="L186" s="24"/>
      <c r="M186" s="24"/>
      <c r="N186" s="25"/>
      <c r="O186" s="195"/>
    </row>
    <row r="187" spans="1:15" ht="15.95" customHeight="1" x14ac:dyDescent="0.25">
      <c r="A187" s="121"/>
      <c r="B187" s="23"/>
      <c r="C187" s="58"/>
      <c r="D187" s="664"/>
      <c r="E187" s="665"/>
      <c r="F187" s="483"/>
      <c r="G187" s="484"/>
      <c r="H187" s="645" t="s">
        <v>29</v>
      </c>
      <c r="I187" s="646"/>
      <c r="J187" s="40">
        <f>+$D$205</f>
        <v>44407</v>
      </c>
      <c r="K187" s="24"/>
      <c r="L187" s="24"/>
      <c r="M187" s="24"/>
      <c r="N187" s="25"/>
      <c r="O187" s="195"/>
    </row>
    <row r="188" spans="1:15" ht="15.95" customHeight="1" x14ac:dyDescent="0.25">
      <c r="A188" s="121"/>
      <c r="B188" s="23"/>
      <c r="C188" s="59" t="s">
        <v>25</v>
      </c>
      <c r="D188" s="658"/>
      <c r="E188" s="659"/>
      <c r="F188" s="483"/>
      <c r="G188" s="484"/>
      <c r="H188" s="649" t="s">
        <v>30</v>
      </c>
      <c r="I188" s="650"/>
      <c r="J188" s="42" t="str">
        <f t="array" ref="J188">+IF($H$199&gt;=$M$4,MIN(IF($H$192:$H$200&gt;$M$4,$H$192:$H$200,"")),"vencida")</f>
        <v>vencida</v>
      </c>
      <c r="K188" s="24"/>
      <c r="L188" s="24"/>
      <c r="M188" s="24"/>
      <c r="N188" s="25"/>
      <c r="O188" s="195"/>
    </row>
    <row r="189" spans="1:15" ht="15.95" customHeight="1" x14ac:dyDescent="0.25">
      <c r="A189" s="121"/>
      <c r="B189" s="23"/>
      <c r="C189" s="59" t="s">
        <v>6</v>
      </c>
      <c r="D189" s="658" t="s">
        <v>57</v>
      </c>
      <c r="E189" s="659"/>
      <c r="F189" s="483"/>
      <c r="G189" s="484"/>
      <c r="H189" s="24"/>
      <c r="I189" s="24"/>
      <c r="J189" s="24"/>
      <c r="K189" s="24"/>
      <c r="L189" s="24"/>
      <c r="M189" s="24"/>
      <c r="N189" s="25"/>
      <c r="O189" s="195"/>
    </row>
    <row r="190" spans="1:15" ht="15.95" customHeight="1" x14ac:dyDescent="0.25">
      <c r="A190" s="121"/>
      <c r="B190" s="23"/>
      <c r="C190" s="59" t="s">
        <v>8</v>
      </c>
      <c r="D190" s="658" t="s">
        <v>17</v>
      </c>
      <c r="E190" s="659"/>
      <c r="F190" s="483"/>
      <c r="G190" s="484"/>
      <c r="H190" s="651" t="s">
        <v>41</v>
      </c>
      <c r="I190" s="652"/>
      <c r="J190" s="652"/>
      <c r="K190" s="652"/>
      <c r="L190" s="653"/>
      <c r="M190" s="24"/>
      <c r="N190" s="25"/>
      <c r="O190" s="197">
        <f>+M228</f>
        <v>-22000000</v>
      </c>
    </row>
    <row r="191" spans="1:15" ht="15.95" customHeight="1" x14ac:dyDescent="0.25">
      <c r="A191" s="121"/>
      <c r="B191" s="23"/>
      <c r="C191" s="59" t="s">
        <v>33</v>
      </c>
      <c r="D191" s="73" t="s">
        <v>325</v>
      </c>
      <c r="E191" s="273">
        <v>0.31819999999999998</v>
      </c>
      <c r="F191" s="483">
        <f>+E191*$J$186</f>
        <v>0</v>
      </c>
      <c r="G191" s="484"/>
      <c r="H191" s="81" t="s">
        <v>0</v>
      </c>
      <c r="I191" s="82" t="s">
        <v>2</v>
      </c>
      <c r="J191" s="82" t="s">
        <v>3</v>
      </c>
      <c r="K191" s="82" t="s">
        <v>4</v>
      </c>
      <c r="L191" s="83" t="s">
        <v>5</v>
      </c>
      <c r="M191" s="82" t="s">
        <v>44</v>
      </c>
      <c r="N191" s="25"/>
      <c r="O191" s="197">
        <f t="shared" ref="O191:O196" si="21">+O190+M229</f>
        <v>-11790796.875</v>
      </c>
    </row>
    <row r="192" spans="1:15" ht="15.95" customHeight="1" x14ac:dyDescent="0.25">
      <c r="A192" s="121"/>
      <c r="B192" s="23"/>
      <c r="C192" s="278" t="s">
        <v>33</v>
      </c>
      <c r="D192" s="73" t="s">
        <v>303</v>
      </c>
      <c r="E192" s="273">
        <v>0.2273</v>
      </c>
      <c r="F192" s="483">
        <f>+E192*$J$186</f>
        <v>0</v>
      </c>
      <c r="G192" s="484"/>
      <c r="H192" s="45"/>
      <c r="I192" s="46"/>
      <c r="J192" s="46"/>
      <c r="K192" s="46"/>
      <c r="L192" s="47"/>
      <c r="M192" s="23"/>
      <c r="N192" s="25"/>
      <c r="O192" s="197">
        <f t="shared" si="21"/>
        <v>-1217211.1111111082</v>
      </c>
    </row>
    <row r="193" spans="1:15" ht="15.95" customHeight="1" x14ac:dyDescent="0.25">
      <c r="A193" s="121"/>
      <c r="B193" s="23"/>
      <c r="C193" s="278" t="s">
        <v>33</v>
      </c>
      <c r="D193" s="73" t="s">
        <v>308</v>
      </c>
      <c r="E193" s="273">
        <v>0.45450000000000002</v>
      </c>
      <c r="F193" s="483">
        <f>+E193*$J$186</f>
        <v>0</v>
      </c>
      <c r="G193" s="484"/>
      <c r="H193" s="48">
        <f>+$D$204</f>
        <v>43311</v>
      </c>
      <c r="I193" s="70"/>
      <c r="J193" s="49"/>
      <c r="K193" s="49"/>
      <c r="L193" s="50">
        <f>+D206</f>
        <v>33000000</v>
      </c>
      <c r="M193" s="93">
        <f>-L193</f>
        <v>-33000000</v>
      </c>
      <c r="N193" s="25"/>
      <c r="O193" s="197">
        <f t="shared" si="21"/>
        <v>9827946.1805555597</v>
      </c>
    </row>
    <row r="194" spans="1:15" ht="15.95" customHeight="1" x14ac:dyDescent="0.25">
      <c r="A194" s="121"/>
      <c r="B194" s="23"/>
      <c r="C194" s="59" t="s">
        <v>34</v>
      </c>
      <c r="D194" s="658" t="s">
        <v>48</v>
      </c>
      <c r="E194" s="659"/>
      <c r="F194" s="483"/>
      <c r="G194" s="484"/>
      <c r="H194" s="51">
        <f>IF(DAY(H193)=DAY($H$193),IF(WEEKDAY(EDATE(H193,$D$207),3)&lt;5,EDATE(H193,$D$207),WORKDAY(EDATE(H193,$D$207),1)),IF(WEEKDAY(EDATE($H$193,$D$207*COUNT($H$193:H193)),3)&lt;5,EDATE($H$193,$D$207*COUNT($H$193:H193)),WORKDAY(EDATE($H$193,$D$207*COUNT($H$193:H193)),1)))</f>
        <v>43495</v>
      </c>
      <c r="I194" s="71" t="s">
        <v>7</v>
      </c>
      <c r="J194" s="52">
        <f>(IF(AND($D$210&lt;&gt;"",$D$210&gt;(AVERAGE(VLOOKUP(WORKDAY.INTL(H194,-7,1,),'Tasas-TC'!A:B,2,FALSE),VLOOKUP(WORKDAY.INTL(H193,-7,1,),'Tasas-TC'!A:B,2,FALSE))+$D$209)),$D$210,IF(AND($D$211&lt;&gt;"",$D$211&lt;(AVERAGE(VLOOKUP(WORKDAY.INTL(H194,-7,1,),'Tasas-TC'!A:B,2,FALSE),VLOOKUP(WORKDAY.INTL(H193,-7,1,),'Tasas-TC'!A:B,2,FALSE))+$D$209)),$D$211,(AVERAGE(VLOOKUP(WORKDAY.INTL(H194,-7,1,),'Tasas-TC'!A:B,2,FALSE),VLOOKUP(WORKDAY.INTL(H193,-7,1,),'Tasas-TC'!A:B,2,FALSE))+$D$209)))/360)*(H194-H193)*L193</f>
        <v>6240666.666666667</v>
      </c>
      <c r="K194" s="52">
        <f>+IF(OR(I194="A + C",I194="A"),$D$206*$D$212,0)</f>
        <v>0</v>
      </c>
      <c r="L194" s="53">
        <f t="shared" ref="L194:L199" si="22">+L193-K194</f>
        <v>33000000</v>
      </c>
      <c r="M194" s="94">
        <f t="shared" ref="M194:M199" si="23">+J194+K194</f>
        <v>6240666.666666667</v>
      </c>
      <c r="N194" s="25"/>
      <c r="O194" s="197">
        <f t="shared" si="21"/>
        <v>19257636.02430556</v>
      </c>
    </row>
    <row r="195" spans="1:15" ht="15.95" customHeight="1" x14ac:dyDescent="0.25">
      <c r="A195" s="121"/>
      <c r="B195" s="23"/>
      <c r="C195" s="79" t="s">
        <v>38</v>
      </c>
      <c r="D195" s="75"/>
      <c r="E195" s="76"/>
      <c r="F195" s="483"/>
      <c r="G195" s="484"/>
      <c r="H195" s="51">
        <f>IF(DAY(H194)=DAY($H$193),IF(WEEKDAY(EDATE(H194,$D$207),3)&lt;5,EDATE(H194,$D$207),WORKDAY(EDATE(H194,$D$207),1)),IF(WEEKDAY(EDATE($H$193,$D$207*COUNT($H$193:H194)),3)&lt;5,EDATE($H$193,$D$207*COUNT($H$193:H194)),WORKDAY(EDATE($H$193,$D$207*COUNT($H$193:H194)),1)))</f>
        <v>43676</v>
      </c>
      <c r="I195" s="71" t="s">
        <v>13</v>
      </c>
      <c r="J195" s="52">
        <f>(IF(AND($D$210&lt;&gt;"",$D$210&gt;(AVERAGE(VLOOKUP(WORKDAY.INTL(H195,-7,1,),'Tasas-TC'!A:B,2,FALSE),VLOOKUP(WORKDAY.INTL(H194,-7,1,),'Tasas-TC'!A:B,2,FALSE))+$D$209)),$D$210,IF(AND($D$211&lt;&gt;"",$D$211&lt;(AVERAGE(VLOOKUP(WORKDAY.INTL(H195,-7,1,),'Tasas-TC'!A:B,2,FALSE),VLOOKUP(WORKDAY.INTL(H194,-7,1,),'Tasas-TC'!A:B,2,FALSE))+$D$209)),$D$211,(AVERAGE(VLOOKUP(WORKDAY.INTL(H195,-7,1,),'Tasas-TC'!A:B,2,FALSE),VLOOKUP(WORKDAY.INTL(H194,-7,1,),'Tasas-TC'!A:B,2,FALSE))+$D$209)))/360)*(H195-H194)*L194</f>
        <v>6138916.666666667</v>
      </c>
      <c r="K195" s="52">
        <f>+IF(OR(I195="A + C",I195="A"),$D$206*$D$212,0)</f>
        <v>4950000</v>
      </c>
      <c r="L195" s="53">
        <f t="shared" si="22"/>
        <v>28050000</v>
      </c>
      <c r="M195" s="94">
        <f t="shared" si="23"/>
        <v>11088916.666666668</v>
      </c>
      <c r="N195" s="25"/>
      <c r="O195" s="197">
        <f t="shared" si="21"/>
        <v>25350673.52430556</v>
      </c>
    </row>
    <row r="196" spans="1:15" ht="15.95" customHeight="1" x14ac:dyDescent="0.25">
      <c r="A196" s="121"/>
      <c r="B196" s="23"/>
      <c r="C196" s="59"/>
      <c r="D196" s="73"/>
      <c r="E196" s="74"/>
      <c r="F196" s="483"/>
      <c r="G196" s="484"/>
      <c r="H196" s="51">
        <f>IF(DAY(H195)=DAY($H$193),IF(WEEKDAY(EDATE(H195,$D$207),3)&lt;5,EDATE(H195,$D$207),WORKDAY(EDATE(H195,$D$207),1)),IF(WEEKDAY(EDATE($H$193,$D$207*COUNT($H$193:H195)),3)&lt;5,EDATE($H$193,$D$207*COUNT($H$193:H195)),WORKDAY(EDATE($H$193,$D$207*COUNT($H$193:H195)),1)))</f>
        <v>43860</v>
      </c>
      <c r="I196" s="71" t="s">
        <v>13</v>
      </c>
      <c r="J196" s="52">
        <f>(IF(AND($D$210&lt;&gt;"",$D$210&gt;(AVERAGE(VLOOKUP(WORKDAY.INTL(H196,-7,1,),'Tasas-TC'!A:B,2,FALSE),VLOOKUP(WORKDAY.INTL(H195,-7,1,),'Tasas-TC'!A:B,2,FALSE))+$D$209)),$D$210,IF(AND($D$211&lt;&gt;"",$D$211&lt;(AVERAGE(VLOOKUP(WORKDAY.INTL(H196,-7,1,),'Tasas-TC'!A:B,2,FALSE),VLOOKUP(WORKDAY.INTL(H195,-7,1,),'Tasas-TC'!A:B,2,FALSE))+$D$209)),$D$211,(AVERAGE(VLOOKUP(WORKDAY.INTL(H196,-7,1,),'Tasas-TC'!A:B,2,FALSE),VLOOKUP(WORKDAY.INTL(H195,-7,1,),'Tasas-TC'!A:B,2,FALSE))+$D$209)))/360)*(H196-H195)*L195</f>
        <v>5304566.666666667</v>
      </c>
      <c r="K196" s="52">
        <f>+IF(OR(I196="A + C",I196="A"),$D$206*$D$212,0)</f>
        <v>4950000</v>
      </c>
      <c r="L196" s="53">
        <f t="shared" si="22"/>
        <v>23100000</v>
      </c>
      <c r="M196" s="94">
        <f t="shared" si="23"/>
        <v>10254566.666666668</v>
      </c>
      <c r="N196" s="25"/>
      <c r="O196" s="197">
        <f t="shared" si="21"/>
        <v>31979405.295138896</v>
      </c>
    </row>
    <row r="197" spans="1:15" ht="15.95" customHeight="1" x14ac:dyDescent="0.25">
      <c r="A197" s="121"/>
      <c r="B197" s="32"/>
      <c r="C197" s="60"/>
      <c r="D197" s="77"/>
      <c r="E197" s="78"/>
      <c r="F197" s="483"/>
      <c r="G197" s="484"/>
      <c r="H197" s="51">
        <f>IF(DAY(H196)=DAY($H$193),IF(WEEKDAY(EDATE(H196,$D$207),3)&lt;5,EDATE(H196,$D$207),WORKDAY(EDATE(H196,$D$207),1)),IF(WEEKDAY(EDATE($H$193,$D$207*COUNT($H$193:H196)),3)&lt;5,EDATE($H$193,$D$207*COUNT($H$193:H196)),WORKDAY(EDATE($H$193,$D$207*COUNT($H$193:H196)),1)))</f>
        <v>44042</v>
      </c>
      <c r="I197" s="71" t="s">
        <v>13</v>
      </c>
      <c r="J197" s="52">
        <f>(IF(AND($D$210&lt;&gt;"",$D$210&gt;(AVERAGE(VLOOKUP(WORKDAY.INTL(H197,-7,1,),'Tasas-TC'!A:B,2,FALSE),VLOOKUP(WORKDAY.INTL(H196,-7,1,),'Tasas-TC'!A:B,2,FALSE))+$D$209)),$D$210,IF(AND($D$211&lt;&gt;"",$D$211&lt;(AVERAGE(VLOOKUP(WORKDAY.INTL(H197,-7,1,),'Tasas-TC'!A:B,2,FALSE),VLOOKUP(WORKDAY.INTL(H196,-7,1,),'Tasas-TC'!A:B,2,FALSE))+$D$209)),$D$211,(AVERAGE(VLOOKUP(WORKDAY.INTL(H197,-7,1,),'Tasas-TC'!A:B,2,FALSE),VLOOKUP(WORKDAY.INTL(H196,-7,1,),'Tasas-TC'!A:B,2,FALSE))+$D$209)))/360)*(H197-H196)*L196</f>
        <v>4320983.333333333</v>
      </c>
      <c r="K197" s="52">
        <f>+IF(OR(I197="A + C",I197="A"),$D$206*$D$213,0)</f>
        <v>6600000</v>
      </c>
      <c r="L197" s="53">
        <f t="shared" si="22"/>
        <v>16500000</v>
      </c>
      <c r="M197" s="94">
        <f t="shared" si="23"/>
        <v>10920983.333333332</v>
      </c>
      <c r="N197" s="25"/>
      <c r="O197" s="195"/>
    </row>
    <row r="198" spans="1:15" ht="15.95" customHeight="1" x14ac:dyDescent="0.25">
      <c r="A198" s="121"/>
      <c r="B198" s="23"/>
      <c r="C198" s="60"/>
      <c r="D198" s="275" t="str">
        <f>+B184</f>
        <v>Agroinversiones I</v>
      </c>
      <c r="E198" s="276"/>
      <c r="F198" s="483"/>
      <c r="G198" s="484">
        <f>+J186</f>
        <v>0</v>
      </c>
      <c r="H198" s="51">
        <f>IF(DAY(H197)=DAY($H$193),IF(WEEKDAY(EDATE(H197,$D$207),3)&lt;5,EDATE(H197,$D$207),WORKDAY(EDATE(H197,$D$207),1)),IF(WEEKDAY(EDATE($H$193,$D$207*COUNT($H$193:H197)),3)&lt;5,EDATE($H$193,$D$207*COUNT($H$193:H197)),WORKDAY(EDATE($H$193,$D$207*COUNT($H$193:H197)),1)))</f>
        <v>44228</v>
      </c>
      <c r="I198" s="71" t="s">
        <v>13</v>
      </c>
      <c r="J198" s="52">
        <f>(IF(AND($D$210&lt;&gt;"",$D$210&gt;(AVERAGE(VLOOKUP(WORKDAY.INTL(H198,-7,1,),'Tasas-TC'!A:B,2,FALSE),VLOOKUP(WORKDAY.INTL(H197,-7,1,),'Tasas-TC'!A:B,2,FALSE))+$D$209)),$D$210,IF(AND($D$211&lt;&gt;"",$D$211&lt;(AVERAGE(VLOOKUP(WORKDAY.INTL(H198,-7,1,),'Tasas-TC'!A:B,2,FALSE),VLOOKUP(WORKDAY.INTL(H197,-7,1,),'Tasas-TC'!A:B,2,FALSE))+$D$209)),$D$211,(AVERAGE(VLOOKUP(WORKDAY.INTL(H198,-7,1,),'Tasas-TC'!A:B,2,FALSE),VLOOKUP(WORKDAY.INTL(H197,-7,1,),'Tasas-TC'!A:B,2,FALSE))+$D$209)))/360)*(H198-H197)*L197</f>
        <v>3154250</v>
      </c>
      <c r="K198" s="52">
        <f>+IF(OR(I198="A + C",I198="A"),$D$206*$D$213,0)</f>
        <v>6600000</v>
      </c>
      <c r="L198" s="53">
        <f t="shared" si="22"/>
        <v>9900000</v>
      </c>
      <c r="M198" s="94">
        <f t="shared" si="23"/>
        <v>9754250</v>
      </c>
      <c r="N198" s="25"/>
      <c r="O198" s="195"/>
    </row>
    <row r="199" spans="1:15" ht="15.95" customHeight="1" x14ac:dyDescent="0.25">
      <c r="A199" s="121"/>
      <c r="B199" s="23"/>
      <c r="D199" s="277"/>
      <c r="E199" s="277"/>
      <c r="F199" s="483"/>
      <c r="G199" s="484"/>
      <c r="H199" s="51">
        <f>IF(DAY(H198)=DAY($H$193),IF(WEEKDAY(EDATE(H198,$D$207),3)&lt;5,EDATE(H198,$D$207),WORKDAY(EDATE(H198,$D$207),1)),IF(WEEKDAY(EDATE($H$193,$D$207*COUNT($H$193:H198)),3)&lt;5,EDATE($H$193,$D$207*COUNT($H$193:H198)),WORKDAY(EDATE($H$193,$D$207*COUNT($H$193:H198)),1)))</f>
        <v>44407</v>
      </c>
      <c r="I199" s="71" t="s">
        <v>13</v>
      </c>
      <c r="J199" s="52">
        <f>(IF(AND($D$210&lt;&gt;"",$D$210&gt;(AVERAGE(VLOOKUP(WORKDAY.INTL(H199,-7,1,),'Tasas-TC'!A:B,2,FALSE),VLOOKUP(WORKDAY.INTL(H198,-7,1,),'Tasas-TC'!A:B,2,FALSE))+$D$209)),$D$210,IF(AND($D$211&lt;&gt;"",$D$211&lt;(AVERAGE(VLOOKUP(WORKDAY.INTL(H199,-7,1,),'Tasas-TC'!A:B,2,FALSE),VLOOKUP(WORKDAY.INTL(H198,-7,1,),'Tasas-TC'!A:B,2,FALSE))+$D$209)),$D$211,(AVERAGE(VLOOKUP(WORKDAY.INTL(H199,-7,1,),'Tasas-TC'!A:B,2,FALSE),VLOOKUP(WORKDAY.INTL(H198,-7,1,),'Tasas-TC'!A:B,2,FALSE))+$D$209)))/360)*(H199-H198)*L198</f>
        <v>1821325</v>
      </c>
      <c r="K199" s="52">
        <f>+IF(OR(I199="A + C",I199="A"),$D$206*$D$214,0)</f>
        <v>9900000</v>
      </c>
      <c r="L199" s="53">
        <f t="shared" si="22"/>
        <v>0</v>
      </c>
      <c r="M199" s="94">
        <f t="shared" si="23"/>
        <v>11721325</v>
      </c>
      <c r="N199" s="25"/>
      <c r="O199" s="195"/>
    </row>
    <row r="200" spans="1:15" ht="15.95" customHeight="1" x14ac:dyDescent="0.25">
      <c r="A200" s="121"/>
      <c r="B200" s="23"/>
      <c r="C200" s="638" t="s">
        <v>36</v>
      </c>
      <c r="D200" s="640"/>
      <c r="E200" s="36"/>
      <c r="F200" s="483"/>
      <c r="G200" s="484"/>
      <c r="H200" s="54"/>
      <c r="I200" s="61"/>
      <c r="J200" s="55"/>
      <c r="K200" s="56"/>
      <c r="L200" s="57"/>
      <c r="M200" s="95"/>
      <c r="N200" s="25"/>
      <c r="O200" s="195"/>
    </row>
    <row r="201" spans="1:15" ht="15.95" customHeight="1" x14ac:dyDescent="0.25">
      <c r="A201" s="121"/>
      <c r="B201" s="23"/>
      <c r="C201" s="59"/>
      <c r="D201" s="62"/>
      <c r="E201" s="36"/>
      <c r="F201" s="483"/>
      <c r="G201" s="484"/>
      <c r="H201" s="24"/>
      <c r="I201" s="24"/>
      <c r="J201" s="24"/>
      <c r="K201" s="24"/>
      <c r="L201" s="24"/>
      <c r="M201" s="24"/>
      <c r="N201" s="25"/>
      <c r="O201" s="195"/>
    </row>
    <row r="202" spans="1:15" ht="15.95" customHeight="1" x14ac:dyDescent="0.25">
      <c r="A202" s="121"/>
      <c r="B202" s="23"/>
      <c r="C202" s="59" t="s">
        <v>9</v>
      </c>
      <c r="D202" s="98" t="s">
        <v>18</v>
      </c>
      <c r="E202" s="36"/>
      <c r="F202" s="483"/>
      <c r="G202" s="484"/>
      <c r="H202" s="656" t="s">
        <v>43</v>
      </c>
      <c r="I202" s="656"/>
      <c r="J202" s="92">
        <v>0</v>
      </c>
      <c r="K202" s="92"/>
      <c r="L202" s="24"/>
      <c r="M202" s="24"/>
      <c r="N202" s="25"/>
      <c r="O202" s="195"/>
    </row>
    <row r="203" spans="1:15" ht="15.95" customHeight="1" x14ac:dyDescent="0.25">
      <c r="A203" s="121"/>
      <c r="B203" s="23"/>
      <c r="C203" s="59" t="s">
        <v>10</v>
      </c>
      <c r="D203" s="65">
        <v>43306</v>
      </c>
      <c r="E203" s="36"/>
      <c r="F203" s="483"/>
      <c r="G203" s="484"/>
      <c r="H203" s="657"/>
      <c r="I203" s="657"/>
      <c r="J203" s="392"/>
      <c r="K203" s="24"/>
      <c r="L203" s="33"/>
      <c r="M203" s="33"/>
      <c r="N203" s="25"/>
      <c r="O203" s="195"/>
    </row>
    <row r="204" spans="1:15" ht="15.95" customHeight="1" x14ac:dyDescent="0.25">
      <c r="A204" s="121"/>
      <c r="B204" s="23"/>
      <c r="C204" s="59" t="s">
        <v>11</v>
      </c>
      <c r="D204" s="65">
        <v>43311</v>
      </c>
      <c r="E204" s="36"/>
      <c r="F204" s="480"/>
      <c r="G204" s="484"/>
      <c r="H204" s="24"/>
      <c r="I204" s="24"/>
      <c r="J204" s="24"/>
      <c r="K204" s="24"/>
      <c r="L204" s="24"/>
      <c r="M204" s="24"/>
      <c r="N204" s="25"/>
      <c r="O204" s="195"/>
    </row>
    <row r="205" spans="1:15" ht="15.95" customHeight="1" x14ac:dyDescent="0.25">
      <c r="A205" s="121"/>
      <c r="B205" s="23"/>
      <c r="C205" s="59" t="s">
        <v>12</v>
      </c>
      <c r="D205" s="65">
        <v>44407</v>
      </c>
      <c r="E205" s="36"/>
      <c r="F205" s="480"/>
      <c r="G205" s="485"/>
      <c r="H205" s="638" t="s">
        <v>44</v>
      </c>
      <c r="I205" s="639"/>
      <c r="J205" s="639"/>
      <c r="K205" s="639"/>
      <c r="L205" s="639"/>
      <c r="M205" s="640"/>
      <c r="N205" s="25"/>
      <c r="O205" s="195"/>
    </row>
    <row r="206" spans="1:15" ht="15.95" customHeight="1" x14ac:dyDescent="0.25">
      <c r="A206" s="121"/>
      <c r="B206" s="23"/>
      <c r="C206" s="59" t="s">
        <v>27</v>
      </c>
      <c r="D206" s="66">
        <v>33000000</v>
      </c>
      <c r="E206" s="41"/>
      <c r="F206" s="480"/>
      <c r="G206" s="485"/>
      <c r="H206" s="23"/>
      <c r="I206" s="24"/>
      <c r="J206" s="24"/>
      <c r="K206" s="24"/>
      <c r="L206" s="24"/>
      <c r="M206" s="25"/>
      <c r="N206" s="25"/>
      <c r="O206" s="195"/>
    </row>
    <row r="207" spans="1:15" ht="15.95" customHeight="1" x14ac:dyDescent="0.25">
      <c r="A207" s="121"/>
      <c r="B207" s="23"/>
      <c r="C207" s="59" t="s">
        <v>26</v>
      </c>
      <c r="D207" s="66">
        <v>6</v>
      </c>
      <c r="E207" s="36"/>
      <c r="F207" s="480"/>
      <c r="G207" s="485"/>
      <c r="H207" s="23"/>
      <c r="I207" s="24"/>
      <c r="J207" s="24"/>
      <c r="K207" s="24"/>
      <c r="L207" s="24"/>
      <c r="M207" s="25"/>
      <c r="N207" s="25"/>
      <c r="O207" s="195"/>
    </row>
    <row r="208" spans="1:15" ht="15.95" customHeight="1" x14ac:dyDescent="0.25">
      <c r="A208" s="121"/>
      <c r="B208" s="23"/>
      <c r="C208" s="59" t="s">
        <v>19</v>
      </c>
      <c r="D208" s="67" t="s">
        <v>20</v>
      </c>
      <c r="E208" s="43"/>
      <c r="F208" s="480"/>
      <c r="G208" s="485"/>
      <c r="H208" s="96"/>
      <c r="I208" s="35"/>
      <c r="J208" s="24"/>
      <c r="K208" s="24"/>
      <c r="L208" s="24"/>
      <c r="M208" s="25"/>
      <c r="N208" s="25"/>
      <c r="O208" s="195"/>
    </row>
    <row r="209" spans="1:17" ht="15.95" customHeight="1" x14ac:dyDescent="0.25">
      <c r="A209" s="121"/>
      <c r="B209" s="23"/>
      <c r="C209" s="59" t="s">
        <v>14</v>
      </c>
      <c r="D209" s="68">
        <v>0.17</v>
      </c>
      <c r="E209" s="43"/>
      <c r="F209" s="480"/>
      <c r="G209" s="485"/>
      <c r="H209" s="23"/>
      <c r="I209" s="24"/>
      <c r="J209" s="24"/>
      <c r="K209" s="24"/>
      <c r="L209" s="24"/>
      <c r="M209" s="25"/>
      <c r="N209" s="25"/>
      <c r="O209" s="195"/>
    </row>
    <row r="210" spans="1:17" ht="15.95" customHeight="1" x14ac:dyDescent="0.25">
      <c r="A210" s="121"/>
      <c r="B210" s="23"/>
      <c r="C210" s="59" t="s">
        <v>31</v>
      </c>
      <c r="D210" s="68">
        <v>0.15</v>
      </c>
      <c r="E210" s="43"/>
      <c r="F210" s="480"/>
      <c r="G210" s="485"/>
      <c r="H210" s="23"/>
      <c r="I210" s="24"/>
      <c r="J210" s="24"/>
      <c r="K210" s="24"/>
      <c r="L210" s="24"/>
      <c r="M210" s="25"/>
      <c r="N210" s="25"/>
      <c r="O210" s="195"/>
    </row>
    <row r="211" spans="1:17" ht="15.95" customHeight="1" x14ac:dyDescent="0.25">
      <c r="A211" s="121"/>
      <c r="B211" s="23"/>
      <c r="C211" s="59" t="s">
        <v>32</v>
      </c>
      <c r="D211" s="68">
        <v>0.37</v>
      </c>
      <c r="E211" s="44"/>
      <c r="F211" s="480"/>
      <c r="G211" s="485"/>
      <c r="H211" s="23"/>
      <c r="I211" s="24"/>
      <c r="J211" s="24"/>
      <c r="K211" s="24"/>
      <c r="L211" s="24"/>
      <c r="M211" s="25"/>
      <c r="N211" s="25"/>
      <c r="O211" s="195"/>
    </row>
    <row r="212" spans="1:17" ht="15.95" customHeight="1" x14ac:dyDescent="0.25">
      <c r="A212" s="121"/>
      <c r="B212" s="23"/>
      <c r="C212" s="59" t="s">
        <v>58</v>
      </c>
      <c r="D212" s="69">
        <v>0.15</v>
      </c>
      <c r="E212" s="24"/>
      <c r="F212" s="480"/>
      <c r="G212" s="485"/>
      <c r="H212" s="23"/>
      <c r="I212" s="24"/>
      <c r="J212" s="24"/>
      <c r="K212" s="24"/>
      <c r="L212" s="24"/>
      <c r="M212" s="25"/>
      <c r="N212" s="25"/>
      <c r="O212" s="195"/>
    </row>
    <row r="213" spans="1:17" ht="15.95" customHeight="1" x14ac:dyDescent="0.25">
      <c r="A213" s="121"/>
      <c r="B213" s="23"/>
      <c r="C213" s="59" t="s">
        <v>59</v>
      </c>
      <c r="D213" s="69">
        <v>0.2</v>
      </c>
      <c r="E213" s="24"/>
      <c r="F213" s="480"/>
      <c r="G213" s="485"/>
      <c r="H213" s="23"/>
      <c r="I213" s="24"/>
      <c r="J213" s="24"/>
      <c r="K213" s="24"/>
      <c r="L213" s="24"/>
      <c r="M213" s="25"/>
      <c r="N213" s="25"/>
      <c r="O213" s="195"/>
    </row>
    <row r="214" spans="1:17" ht="15.95" customHeight="1" x14ac:dyDescent="0.25">
      <c r="A214" s="121"/>
      <c r="B214" s="23"/>
      <c r="C214" s="59" t="s">
        <v>21</v>
      </c>
      <c r="D214" s="69">
        <v>0.3</v>
      </c>
      <c r="E214" s="24"/>
      <c r="F214" s="480"/>
      <c r="G214" s="485"/>
      <c r="H214" s="23"/>
      <c r="I214" s="24"/>
      <c r="J214" s="24"/>
      <c r="K214" s="24"/>
      <c r="L214" s="24"/>
      <c r="M214" s="25"/>
      <c r="N214" s="25"/>
      <c r="O214" s="195"/>
    </row>
    <row r="215" spans="1:17" ht="20.100000000000001" customHeight="1" x14ac:dyDescent="0.25">
      <c r="A215" s="121"/>
      <c r="B215" s="23"/>
      <c r="C215" s="63"/>
      <c r="D215" s="64"/>
      <c r="E215" s="24"/>
      <c r="F215" s="480"/>
      <c r="G215" s="485"/>
      <c r="H215" s="23"/>
      <c r="I215" s="24"/>
      <c r="J215" s="24"/>
      <c r="K215" s="24"/>
      <c r="L215" s="24"/>
      <c r="M215" s="25"/>
      <c r="N215" s="25"/>
      <c r="O215" s="195"/>
    </row>
    <row r="216" spans="1:17" ht="15.95" customHeight="1" x14ac:dyDescent="0.25">
      <c r="A216" s="121"/>
      <c r="B216" s="23"/>
      <c r="C216" s="24"/>
      <c r="D216" s="24"/>
      <c r="E216" s="24"/>
      <c r="F216" s="480"/>
      <c r="G216" s="485"/>
      <c r="H216" s="23"/>
      <c r="I216" s="24"/>
      <c r="J216" s="24"/>
      <c r="K216" s="24"/>
      <c r="L216" s="24"/>
      <c r="M216" s="25"/>
      <c r="N216" s="25"/>
      <c r="O216" s="195"/>
    </row>
    <row r="217" spans="1:17" ht="15.95" customHeight="1" x14ac:dyDescent="0.25">
      <c r="A217" s="121"/>
      <c r="B217" s="23"/>
      <c r="C217" s="24"/>
      <c r="D217" s="24"/>
      <c r="E217" s="24"/>
      <c r="F217" s="480"/>
      <c r="G217" s="485"/>
      <c r="H217" s="26"/>
      <c r="I217" s="27"/>
      <c r="J217" s="27"/>
      <c r="K217" s="27"/>
      <c r="L217" s="27"/>
      <c r="M217" s="28"/>
      <c r="N217" s="25"/>
      <c r="O217" s="194" t="str">
        <f>+D259</f>
        <v>ON Pyme CNV Garantizada</v>
      </c>
    </row>
    <row r="218" spans="1:17" ht="15.95" customHeight="1" x14ac:dyDescent="0.25">
      <c r="A218" s="121"/>
      <c r="B218" s="26"/>
      <c r="C218" s="27"/>
      <c r="D218" s="27"/>
      <c r="E218" s="27"/>
      <c r="F218" s="481"/>
      <c r="G218" s="486"/>
      <c r="H218" s="27"/>
      <c r="I218" s="27"/>
      <c r="J218" s="27"/>
      <c r="K218" s="27"/>
      <c r="L218" s="27"/>
      <c r="M218" s="27"/>
      <c r="N218" s="28"/>
      <c r="O218" s="195"/>
    </row>
    <row r="219" spans="1:17" ht="15.95" customHeight="1" x14ac:dyDescent="0.25">
      <c r="A219" s="121"/>
      <c r="B219" s="661" t="s">
        <v>367</v>
      </c>
      <c r="C219" s="662"/>
      <c r="D219" s="662"/>
      <c r="E219" s="662"/>
      <c r="F219" s="662"/>
      <c r="G219" s="662"/>
      <c r="H219" s="662"/>
      <c r="I219" s="662"/>
      <c r="J219" s="662"/>
      <c r="K219" s="662"/>
      <c r="L219" s="662"/>
      <c r="M219" s="662"/>
      <c r="N219" s="663"/>
      <c r="O219" s="194" t="str">
        <f>+IF(J257="vencida",IF(D259='Reporte - Oscuro'!$C$40,'Reporte - Oscuro'!$C$40&amp;" vencida",IF(D259='Reporte - Oscuro'!$C$41,'Reporte - Oscuro'!$C$41&amp;" vencida",IF(D259='Reporte - Oscuro'!$C$42,'Reporte - Oscuro'!$C$42&amp;" vencida",'Reporte - Oscuro'!$C$43&amp;" vencida"))),D259&amp;" vigente")</f>
        <v>ON Pyme CNV Garantizada vencida</v>
      </c>
    </row>
    <row r="220" spans="1:17" ht="15.95" customHeight="1" x14ac:dyDescent="0.25">
      <c r="A220" s="121"/>
      <c r="B220" s="23"/>
      <c r="C220" s="24"/>
      <c r="D220" s="24"/>
      <c r="E220" s="24"/>
      <c r="F220" s="483"/>
      <c r="G220" s="484"/>
      <c r="H220" s="31"/>
      <c r="I220" s="31"/>
      <c r="J220" s="24"/>
      <c r="K220" s="24"/>
      <c r="L220" s="24"/>
      <c r="M220" s="24"/>
      <c r="N220" s="25"/>
      <c r="O220" s="195"/>
    </row>
    <row r="221" spans="1:17" ht="15.95" customHeight="1" x14ac:dyDescent="0.25">
      <c r="A221" s="121"/>
      <c r="B221" s="23"/>
      <c r="C221" s="638" t="s">
        <v>37</v>
      </c>
      <c r="D221" s="639"/>
      <c r="E221" s="640"/>
      <c r="F221" s="483"/>
      <c r="G221" s="484"/>
      <c r="H221" s="641" t="s">
        <v>28</v>
      </c>
      <c r="I221" s="642"/>
      <c r="J221" s="39">
        <f>+$D$239-SUMIF($H$228:$H$234,"&lt;"&amp;$M$4,$K$228:$K$234)</f>
        <v>0</v>
      </c>
      <c r="K221" s="24"/>
      <c r="L221" s="24"/>
      <c r="M221" s="24"/>
      <c r="N221" s="25"/>
      <c r="O221" s="195"/>
    </row>
    <row r="222" spans="1:17" ht="15.95" customHeight="1" x14ac:dyDescent="0.25">
      <c r="A222" s="121"/>
      <c r="B222" s="23"/>
      <c r="C222" s="58"/>
      <c r="D222" s="664"/>
      <c r="E222" s="665"/>
      <c r="F222" s="483"/>
      <c r="G222" s="484"/>
      <c r="H222" s="645" t="s">
        <v>29</v>
      </c>
      <c r="I222" s="646"/>
      <c r="J222" s="40">
        <f>+$D$238</f>
        <v>45747</v>
      </c>
      <c r="K222" s="24"/>
      <c r="L222" s="24"/>
      <c r="M222" s="24"/>
      <c r="N222" s="25"/>
      <c r="O222" s="195"/>
    </row>
    <row r="223" spans="1:17" ht="15.95" customHeight="1" x14ac:dyDescent="0.25">
      <c r="A223" s="121"/>
      <c r="B223" s="23"/>
      <c r="C223" s="59" t="s">
        <v>25</v>
      </c>
      <c r="D223" s="658"/>
      <c r="E223" s="659"/>
      <c r="F223" s="483"/>
      <c r="G223" s="484"/>
      <c r="H223" s="649" t="s">
        <v>30</v>
      </c>
      <c r="I223" s="650"/>
      <c r="J223" s="42" t="str">
        <f t="array" ref="J223">+IF($H$234&gt;=$M$4,MIN(IF($H$228:$H$234&gt;$M$4,$H$228:$H$234,"")),"vencida")</f>
        <v>vencida</v>
      </c>
      <c r="K223" s="24"/>
      <c r="L223" s="24"/>
      <c r="M223" s="24"/>
      <c r="N223" s="25"/>
      <c r="O223" s="195"/>
    </row>
    <row r="224" spans="1:17" ht="15.95" customHeight="1" x14ac:dyDescent="0.25">
      <c r="A224" s="121"/>
      <c r="B224" s="23"/>
      <c r="C224" s="59" t="s">
        <v>6</v>
      </c>
      <c r="D224" s="658" t="s">
        <v>368</v>
      </c>
      <c r="E224" s="659"/>
      <c r="F224" s="483"/>
      <c r="G224" s="484"/>
      <c r="H224" s="24"/>
      <c r="I224" s="24"/>
      <c r="J224" s="24"/>
      <c r="K224" s="24"/>
      <c r="L224" s="24"/>
      <c r="M224" s="24"/>
      <c r="N224" s="25"/>
      <c r="O224" s="197">
        <f>+M262</f>
        <v>-3000000</v>
      </c>
      <c r="P224" s="197">
        <f>-M262</f>
        <v>3000000</v>
      </c>
      <c r="Q224" s="197"/>
    </row>
    <row r="225" spans="1:17" ht="15.95" customHeight="1" x14ac:dyDescent="0.25">
      <c r="A225" s="121"/>
      <c r="B225" s="23"/>
      <c r="C225" s="59" t="s">
        <v>8</v>
      </c>
      <c r="D225" s="658" t="s">
        <v>17</v>
      </c>
      <c r="E225" s="659"/>
      <c r="F225" s="483"/>
      <c r="G225" s="484"/>
      <c r="H225" s="651" t="s">
        <v>41</v>
      </c>
      <c r="I225" s="652"/>
      <c r="J225" s="652"/>
      <c r="K225" s="652"/>
      <c r="L225" s="653"/>
      <c r="M225" s="24"/>
      <c r="N225" s="25"/>
      <c r="O225" s="197">
        <f t="shared" ref="O225:O236" si="24">+M263+O224</f>
        <v>-2719416.6666666665</v>
      </c>
      <c r="P225" s="197">
        <f t="shared" ref="P225:P236" si="25">+(M263/(1+$J$278)^((H263-$H$262)/365))/$P$224</f>
        <v>9.3527777777777765E-2</v>
      </c>
      <c r="Q225" s="197">
        <f t="shared" ref="Q225:Q236" si="26">+P225*((H263-$H$262)/365)</f>
        <v>2.3317884322678839E-2</v>
      </c>
    </row>
    <row r="226" spans="1:17" ht="15.95" customHeight="1" x14ac:dyDescent="0.25">
      <c r="A226" s="121"/>
      <c r="B226" s="23"/>
      <c r="C226" s="59" t="s">
        <v>33</v>
      </c>
      <c r="D226" s="73" t="s">
        <v>325</v>
      </c>
      <c r="E226" s="273">
        <v>1</v>
      </c>
      <c r="F226" s="483">
        <f>+E226*J221</f>
        <v>0</v>
      </c>
      <c r="G226" s="484"/>
      <c r="H226" s="81" t="s">
        <v>0</v>
      </c>
      <c r="I226" s="82" t="s">
        <v>2</v>
      </c>
      <c r="J226" s="82" t="s">
        <v>3</v>
      </c>
      <c r="K226" s="82" t="s">
        <v>4</v>
      </c>
      <c r="L226" s="83" t="s">
        <v>5</v>
      </c>
      <c r="M226" s="83" t="s">
        <v>44</v>
      </c>
      <c r="N226" s="25"/>
      <c r="O226" s="197">
        <f t="shared" si="24"/>
        <v>-2441916.6666666665</v>
      </c>
      <c r="P226" s="197">
        <f t="shared" si="25"/>
        <v>9.2500000000000013E-2</v>
      </c>
      <c r="Q226" s="197">
        <f t="shared" si="26"/>
        <v>4.5869863013698636E-2</v>
      </c>
    </row>
    <row r="227" spans="1:17" ht="15.95" customHeight="1" x14ac:dyDescent="0.25">
      <c r="A227" s="121"/>
      <c r="B227" s="23"/>
      <c r="C227" s="59" t="s">
        <v>34</v>
      </c>
      <c r="D227" s="658" t="s">
        <v>48</v>
      </c>
      <c r="E227" s="659"/>
      <c r="F227" s="483"/>
      <c r="G227" s="484"/>
      <c r="H227" s="45"/>
      <c r="I227" s="46"/>
      <c r="J227" s="46"/>
      <c r="K227" s="46"/>
      <c r="L227" s="47"/>
      <c r="M227" s="101"/>
      <c r="N227" s="25"/>
      <c r="O227" s="197">
        <f t="shared" si="24"/>
        <v>-2158250</v>
      </c>
      <c r="P227" s="197">
        <f t="shared" si="25"/>
        <v>9.4555555555555559E-2</v>
      </c>
      <c r="Q227" s="197">
        <f t="shared" si="26"/>
        <v>7.0722374429223744E-2</v>
      </c>
    </row>
    <row r="228" spans="1:17" ht="15.95" customHeight="1" x14ac:dyDescent="0.25">
      <c r="A228" s="121"/>
      <c r="B228" s="23"/>
      <c r="C228" s="79" t="s">
        <v>38</v>
      </c>
      <c r="D228" s="75"/>
      <c r="E228" s="76"/>
      <c r="F228" s="483"/>
      <c r="G228" s="484"/>
      <c r="H228" s="48">
        <f>+D237</f>
        <v>44651</v>
      </c>
      <c r="I228" s="70"/>
      <c r="J228" s="49"/>
      <c r="K228" s="49"/>
      <c r="L228" s="50">
        <f>+D239</f>
        <v>22000000</v>
      </c>
      <c r="M228" s="102">
        <f>-L228</f>
        <v>-22000000</v>
      </c>
      <c r="N228" s="25"/>
      <c r="O228" s="197">
        <f t="shared" si="24"/>
        <v>-1874583.3333333333</v>
      </c>
      <c r="P228" s="197">
        <f t="shared" si="25"/>
        <v>9.4555555555555559E-2</v>
      </c>
      <c r="Q228" s="197">
        <f t="shared" si="26"/>
        <v>9.4555555555555559E-2</v>
      </c>
    </row>
    <row r="229" spans="1:17" ht="15.95" customHeight="1" x14ac:dyDescent="0.25">
      <c r="A229" s="121"/>
      <c r="B229" s="23"/>
      <c r="C229" s="59"/>
      <c r="D229" s="73"/>
      <c r="E229" s="74"/>
      <c r="F229" s="483"/>
      <c r="G229" s="484"/>
      <c r="H229" s="51">
        <v>44834</v>
      </c>
      <c r="I229" s="71" t="s">
        <v>13</v>
      </c>
      <c r="J229" s="52">
        <f>(IF(AND($D$243&lt;&gt;"",$D$243&gt;(AVERAGE(VLOOKUP(WORKDAY.INTL(H229,-7,1,),'Tasas-TC'!A:B,2,FALSE),VLOOKUP(WORKDAY.INTL(H228,-7,1,),'Tasas-TC'!A:B,2,FALSE))+$D$242)),$D$243,IF(AND($D$244&lt;&gt;"",$D$244&lt;(AVERAGE(VLOOKUP(WORKDAY.INTL(H229,-7,1,),'Tasas-TC'!A:B,2,FALSE),VLOOKUP(WORKDAY.INTL(H228,-7,1,),'Tasas-TC'!A:B,2,FALSE))+$D$242)),$D$244,(AVERAGE(VLOOKUP(WORKDAY.INTL(H229,-7,1,),'Tasas-TC'!A:B,2,FALSE),VLOOKUP(WORKDAY.INTL(H228,-7,1,),'Tasas-TC'!A:B,2,FALSE))+$D$242)))/360)*(H229-H228)*L228</f>
        <v>6909203.1250000009</v>
      </c>
      <c r="K229" s="52">
        <f>+IF(OR(I229="A + C",I229="A"),$D$239*$D$245,0)</f>
        <v>3300000</v>
      </c>
      <c r="L229" s="53">
        <f t="shared" ref="L229:L234" si="27">+L228-K229</f>
        <v>18700000</v>
      </c>
      <c r="M229" s="103">
        <f t="shared" ref="M229:M234" si="28">+J229+K229</f>
        <v>10209203.125</v>
      </c>
      <c r="N229" s="25"/>
      <c r="O229" s="197">
        <f t="shared" si="24"/>
        <v>-1219000</v>
      </c>
      <c r="P229" s="197">
        <f t="shared" si="25"/>
        <v>0.21852777777777777</v>
      </c>
      <c r="Q229" s="197">
        <f t="shared" si="26"/>
        <v>0.27301004566210041</v>
      </c>
    </row>
    <row r="230" spans="1:17" ht="15.95" customHeight="1" x14ac:dyDescent="0.25">
      <c r="A230" s="121"/>
      <c r="B230" s="23"/>
      <c r="C230" s="60"/>
      <c r="D230" s="77"/>
      <c r="E230" s="78"/>
      <c r="F230" s="483"/>
      <c r="G230" s="484"/>
      <c r="H230" s="51">
        <v>45016</v>
      </c>
      <c r="I230" s="71" t="s">
        <v>13</v>
      </c>
      <c r="J230" s="52">
        <f>(IF(AND($D$243&lt;&gt;"",$D$243&gt;(AVERAGE(VLOOKUP(WORKDAY.INTL(H230,-7,1,),'Tasas-TC'!A:B,2,FALSE),VLOOKUP(WORKDAY.INTL(H229,-7,1,),'Tasas-TC'!A:B,2,FALSE))+$D$242)),$D$243,IF(AND($D$244&lt;&gt;"",$D$244&lt;(AVERAGE(VLOOKUP(WORKDAY.INTL(H230,-7,1,),'Tasas-TC'!A:B,2,FALSE),VLOOKUP(WORKDAY.INTL(H229,-7,1,),'Tasas-TC'!A:B,2,FALSE))+$D$242)),$D$244,(AVERAGE(VLOOKUP(WORKDAY.INTL(H230,-7,1,),'Tasas-TC'!A:B,2,FALSE),VLOOKUP(WORKDAY.INTL(H229,-7,1,),'Tasas-TC'!A:B,2,FALSE))+$D$242)))/360)*(H230-H229)*L229</f>
        <v>7273585.7638888909</v>
      </c>
      <c r="K230" s="52">
        <f>+IF(OR(I230="A + C",I230="A"),$D$239*$D$245,0)</f>
        <v>3300000</v>
      </c>
      <c r="L230" s="53">
        <f t="shared" si="27"/>
        <v>15400000</v>
      </c>
      <c r="M230" s="103">
        <f t="shared" si="28"/>
        <v>10573585.763888892</v>
      </c>
      <c r="N230" s="25"/>
      <c r="O230" s="197">
        <f t="shared" si="24"/>
        <v>-598489.58333333337</v>
      </c>
      <c r="P230" s="197">
        <f t="shared" si="25"/>
        <v>0.20683680555555553</v>
      </c>
      <c r="Q230" s="197">
        <f t="shared" si="26"/>
        <v>0.30997187024353118</v>
      </c>
    </row>
    <row r="231" spans="1:17" ht="15.95" customHeight="1" x14ac:dyDescent="0.25">
      <c r="A231" s="121"/>
      <c r="B231" s="23"/>
      <c r="C231" s="60"/>
      <c r="D231" s="454" t="str">
        <f>+B219</f>
        <v>Arrowws I</v>
      </c>
      <c r="E231" s="64"/>
      <c r="F231" s="483"/>
      <c r="G231" s="484">
        <f>+J221</f>
        <v>0</v>
      </c>
      <c r="H231" s="51">
        <v>45199</v>
      </c>
      <c r="I231" s="71" t="s">
        <v>13</v>
      </c>
      <c r="J231" s="52">
        <f>(IF(AND($D$243&lt;&gt;"",$D$243&gt;(AVERAGE(VLOOKUP(WORKDAY.INTL(H231,-7,1,),'Tasas-TC'!A:B,2,FALSE),VLOOKUP(WORKDAY.INTL(H230,-7,1,),'Tasas-TC'!A:B,2,FALSE))+$D$242)),$D$243,IF(AND($D$244&lt;&gt;"",$D$244&lt;(AVERAGE(VLOOKUP(WORKDAY.INTL(H231,-7,1,),'Tasas-TC'!A:B,2,FALSE),VLOOKUP(WORKDAY.INTL(H230,-7,1,),'Tasas-TC'!A:B,2,FALSE))+$D$242)),$D$244,(AVERAGE(VLOOKUP(WORKDAY.INTL(H231,-7,1,),'Tasas-TC'!A:B,2,FALSE),VLOOKUP(WORKDAY.INTL(H230,-7,1,),'Tasas-TC'!A:B,2,FALSE))+$D$242)))/360)*(H231-H230)*L230</f>
        <v>7745157.2916666679</v>
      </c>
      <c r="K231" s="52">
        <f>+IF(OR(I231="A + C",I231="A"),$D$239*$D$245,0)</f>
        <v>3300000</v>
      </c>
      <c r="L231" s="53">
        <f t="shared" si="27"/>
        <v>12100000</v>
      </c>
      <c r="M231" s="103">
        <f t="shared" si="28"/>
        <v>11045157.291666668</v>
      </c>
      <c r="N231" s="25"/>
      <c r="O231" s="197">
        <f t="shared" si="24"/>
        <v>-10739.583333333372</v>
      </c>
      <c r="P231" s="197">
        <f t="shared" si="25"/>
        <v>0.19591666666666666</v>
      </c>
      <c r="Q231" s="197">
        <f t="shared" si="26"/>
        <v>0.34298835616438356</v>
      </c>
    </row>
    <row r="232" spans="1:17" ht="15.95" customHeight="1" x14ac:dyDescent="0.25">
      <c r="A232" s="121"/>
      <c r="B232" s="32"/>
      <c r="D232" s="644"/>
      <c r="E232" s="660"/>
      <c r="F232" s="483"/>
      <c r="G232" s="484"/>
      <c r="H232" s="51">
        <v>45382</v>
      </c>
      <c r="I232" s="71" t="s">
        <v>13</v>
      </c>
      <c r="J232" s="52">
        <f>(IF(AND($D$243&lt;&gt;"",$D$243&gt;(AVERAGE(VLOOKUP(WORKDAY.INTL(H232,-7,1,),'Tasas-TC'!A:B,2,FALSE),VLOOKUP(WORKDAY.INTL(H231,-7,1,),'Tasas-TC'!A:B,2,FALSE))+$D$242)),$D$243,IF(AND($D$244&lt;&gt;"",$D$244&lt;(AVERAGE(VLOOKUP(WORKDAY.INTL(H232,-7,1,),'Tasas-TC'!A:B,2,FALSE),VLOOKUP(WORKDAY.INTL(H231,-7,1,),'Tasas-TC'!A:B,2,FALSE))+$D$242)),$D$244,(AVERAGE(VLOOKUP(WORKDAY.INTL(H232,-7,1,),'Tasas-TC'!A:B,2,FALSE),VLOOKUP(WORKDAY.INTL(H231,-7,1,),'Tasas-TC'!A:B,2,FALSE))+$D$242)))/360)*(H232-H231)*L231</f>
        <v>6129689.84375</v>
      </c>
      <c r="K232" s="52">
        <f>+IF(OR(I232="A + C",I232="A"),$D$239*$D$245,0)</f>
        <v>3300000</v>
      </c>
      <c r="L232" s="53">
        <f t="shared" si="27"/>
        <v>8800000</v>
      </c>
      <c r="M232" s="103">
        <f t="shared" si="28"/>
        <v>9429689.84375</v>
      </c>
      <c r="N232" s="25"/>
      <c r="O232" s="197">
        <f t="shared" si="24"/>
        <v>539904.94791666663</v>
      </c>
      <c r="P232" s="197">
        <f t="shared" si="25"/>
        <v>0.18354817708333335</v>
      </c>
      <c r="Q232" s="197">
        <f t="shared" si="26"/>
        <v>0.36759922588470323</v>
      </c>
    </row>
    <row r="233" spans="1:17" ht="15.95" customHeight="1" x14ac:dyDescent="0.25">
      <c r="A233" s="121"/>
      <c r="B233" s="23"/>
      <c r="C233" s="638" t="s">
        <v>36</v>
      </c>
      <c r="D233" s="640"/>
      <c r="E233" s="36"/>
      <c r="F233" s="483"/>
      <c r="G233" s="484"/>
      <c r="H233" s="51">
        <v>45565</v>
      </c>
      <c r="I233" s="71" t="s">
        <v>13</v>
      </c>
      <c r="J233" s="52">
        <f>(IF(AND($D$243&lt;&gt;"",$D$243&gt;(AVERAGE(VLOOKUP(WORKDAY.INTL(H233,-7,1,),'Tasas-TC'!A:B,2,FALSE),VLOOKUP(WORKDAY.INTL(H232,-7,1,),'Tasas-TC'!A:B,2,FALSE))+$D$242)),$D$243,IF(AND($D$244&lt;&gt;"",$D$244&lt;(AVERAGE(VLOOKUP(WORKDAY.INTL(H233,-7,1,),'Tasas-TC'!A:B,2,FALSE),VLOOKUP(WORKDAY.INTL(H232,-7,1,),'Tasas-TC'!A:B,2,FALSE))+$D$242)),$D$244,(AVERAGE(VLOOKUP(WORKDAY.INTL(H233,-7,1,),'Tasas-TC'!A:B,2,FALSE),VLOOKUP(WORKDAY.INTL(H232,-7,1,),'Tasas-TC'!A:B,2,FALSE))+$D$242)))/360)*(H233-H232)*L232</f>
        <v>2793037.5000000005</v>
      </c>
      <c r="K233" s="52">
        <f>+IF(OR(I233="A + C",I233="A"),$D$239*$D$245,0)</f>
        <v>3300000</v>
      </c>
      <c r="L233" s="53">
        <f t="shared" si="27"/>
        <v>5500000</v>
      </c>
      <c r="M233" s="103">
        <f t="shared" si="28"/>
        <v>6093037.5</v>
      </c>
      <c r="N233" s="25"/>
      <c r="O233" s="197">
        <f t="shared" si="24"/>
        <v>1055196.6145833333</v>
      </c>
      <c r="P233" s="197">
        <f t="shared" si="25"/>
        <v>0.17176388888888888</v>
      </c>
      <c r="Q233" s="197">
        <f t="shared" si="26"/>
        <v>0.38682168949771684</v>
      </c>
    </row>
    <row r="234" spans="1:17" ht="15.95" customHeight="1" x14ac:dyDescent="0.25">
      <c r="A234" s="121"/>
      <c r="B234" s="23"/>
      <c r="C234" s="59"/>
      <c r="D234" s="62"/>
      <c r="E234" s="36"/>
      <c r="F234" s="483"/>
      <c r="G234" s="484"/>
      <c r="H234" s="54">
        <v>45747</v>
      </c>
      <c r="I234" s="104" t="s">
        <v>13</v>
      </c>
      <c r="J234" s="105">
        <f>(IF(AND($D$243&lt;&gt;"",$D$243&gt;(AVERAGE(VLOOKUP(WORKDAY.INTL(H234,-7,1,),'Tasas-TC'!A:B,2,FALSE),VLOOKUP(WORKDAY.INTL(H233,-7,1,),'Tasas-TC'!A:B,2,FALSE))+$D$242)),$D$243,IF(AND($D$244&lt;&gt;"",$D$244&lt;(AVERAGE(VLOOKUP(WORKDAY.INTL(H234,-7,1,),'Tasas-TC'!A:B,2,FALSE),VLOOKUP(WORKDAY.INTL(H233,-7,1,),'Tasas-TC'!A:B,2,FALSE))+$D$242)),$D$244,(AVERAGE(VLOOKUP(WORKDAY.INTL(H234,-7,1,),'Tasas-TC'!A:B,2,FALSE),VLOOKUP(WORKDAY.INTL(H233,-7,1,),'Tasas-TC'!A:B,2,FALSE))+$D$242)))/360)*(H234-H233)*L233</f>
        <v>1128731.7708333335</v>
      </c>
      <c r="K234" s="105">
        <f>+IF(OR(I234="A + C",I234="A"),$D$239*$D$246,0)</f>
        <v>5500000</v>
      </c>
      <c r="L234" s="106">
        <f t="shared" si="27"/>
        <v>0</v>
      </c>
      <c r="M234" s="107">
        <f t="shared" si="28"/>
        <v>6628731.770833334</v>
      </c>
      <c r="N234" s="25"/>
      <c r="O234" s="197">
        <f t="shared" si="24"/>
        <v>1534259.1145833333</v>
      </c>
      <c r="P234" s="197">
        <f t="shared" si="25"/>
        <v>0.15968750000000001</v>
      </c>
      <c r="Q234" s="197">
        <f t="shared" si="26"/>
        <v>0.39900000000000002</v>
      </c>
    </row>
    <row r="235" spans="1:17" ht="15.95" customHeight="1" x14ac:dyDescent="0.25">
      <c r="A235" s="121"/>
      <c r="B235" s="23"/>
      <c r="C235" s="59" t="s">
        <v>9</v>
      </c>
      <c r="D235" s="98" t="s">
        <v>18</v>
      </c>
      <c r="E235" s="36"/>
      <c r="F235" s="483"/>
      <c r="G235" s="484"/>
      <c r="H235" s="35"/>
      <c r="I235" s="272"/>
      <c r="J235" s="109"/>
      <c r="K235" s="109"/>
      <c r="L235" s="109"/>
      <c r="M235" s="109"/>
      <c r="N235" s="25"/>
      <c r="O235" s="197">
        <f t="shared" si="24"/>
        <v>1980175.78125</v>
      </c>
      <c r="P235" s="197">
        <f t="shared" si="25"/>
        <v>0.1486388888888889</v>
      </c>
      <c r="Q235" s="197">
        <f t="shared" si="26"/>
        <v>0.40885875190258752</v>
      </c>
    </row>
    <row r="236" spans="1:17" ht="15.95" customHeight="1" x14ac:dyDescent="0.25">
      <c r="A236" s="121"/>
      <c r="B236" s="23"/>
      <c r="C236" s="59" t="s">
        <v>10</v>
      </c>
      <c r="D236" s="65">
        <v>44649</v>
      </c>
      <c r="E236" s="36"/>
      <c r="F236" s="483"/>
      <c r="G236" s="484"/>
      <c r="H236" s="656" t="s">
        <v>43</v>
      </c>
      <c r="I236" s="656"/>
      <c r="J236" s="92">
        <f>+J221+(L234*($P$4+D242)*($M$4-H234)/365)</f>
        <v>0</v>
      </c>
      <c r="K236" s="109"/>
      <c r="L236" s="109"/>
      <c r="M236" s="109"/>
      <c r="N236" s="25"/>
      <c r="O236" s="197">
        <f t="shared" si="24"/>
        <v>2391404.9479166665</v>
      </c>
      <c r="P236" s="197">
        <f t="shared" si="25"/>
        <v>0.1370763888888889</v>
      </c>
      <c r="Q236" s="197">
        <f t="shared" si="26"/>
        <v>0.41235582191780823</v>
      </c>
    </row>
    <row r="237" spans="1:17" ht="15.95" customHeight="1" x14ac:dyDescent="0.25">
      <c r="A237" s="121"/>
      <c r="B237" s="23"/>
      <c r="C237" s="59" t="s">
        <v>11</v>
      </c>
      <c r="D237" s="65">
        <v>44651</v>
      </c>
      <c r="E237" s="36"/>
      <c r="F237" s="483"/>
      <c r="G237" s="484"/>
      <c r="H237" s="35"/>
      <c r="I237" s="272"/>
      <c r="J237" s="109"/>
      <c r="K237" s="109"/>
      <c r="L237" s="109"/>
      <c r="M237" s="109"/>
      <c r="N237" s="25"/>
      <c r="O237" s="195"/>
    </row>
    <row r="238" spans="1:17" ht="15.95" customHeight="1" x14ac:dyDescent="0.25">
      <c r="A238" s="121"/>
      <c r="B238" s="23"/>
      <c r="C238" s="59" t="s">
        <v>12</v>
      </c>
      <c r="D238" s="65">
        <v>45747</v>
      </c>
      <c r="E238" s="36"/>
      <c r="F238" s="483"/>
      <c r="G238" s="484"/>
      <c r="H238" s="638" t="s">
        <v>44</v>
      </c>
      <c r="I238" s="639"/>
      <c r="J238" s="639"/>
      <c r="K238" s="639"/>
      <c r="L238" s="639"/>
      <c r="M238" s="640"/>
      <c r="N238" s="25"/>
      <c r="O238" s="195"/>
    </row>
    <row r="239" spans="1:17" ht="15.95" customHeight="1" x14ac:dyDescent="0.25">
      <c r="A239" s="121"/>
      <c r="B239" s="23"/>
      <c r="C239" s="59" t="s">
        <v>27</v>
      </c>
      <c r="D239" s="66">
        <v>22000000</v>
      </c>
      <c r="E239" s="41"/>
      <c r="F239" s="480"/>
      <c r="G239" s="484"/>
      <c r="H239" s="23"/>
      <c r="I239" s="24"/>
      <c r="J239" s="24"/>
      <c r="K239" s="24"/>
      <c r="L239" s="24"/>
      <c r="M239" s="25"/>
      <c r="N239" s="25"/>
      <c r="O239" s="195"/>
    </row>
    <row r="240" spans="1:17" ht="15.95" customHeight="1" x14ac:dyDescent="0.25">
      <c r="A240" s="121"/>
      <c r="B240" s="23"/>
      <c r="C240" s="59" t="s">
        <v>26</v>
      </c>
      <c r="D240" s="66">
        <v>6</v>
      </c>
      <c r="E240" s="36"/>
      <c r="F240" s="480"/>
      <c r="G240" s="484"/>
      <c r="H240" s="23"/>
      <c r="I240" s="24"/>
      <c r="J240" s="24"/>
      <c r="K240" s="24"/>
      <c r="L240" s="24"/>
      <c r="M240" s="25"/>
      <c r="N240" s="25"/>
      <c r="O240" s="195"/>
    </row>
    <row r="241" spans="1:15" ht="15.95" customHeight="1" x14ac:dyDescent="0.25">
      <c r="A241" s="121"/>
      <c r="B241" s="23"/>
      <c r="C241" s="59" t="s">
        <v>19</v>
      </c>
      <c r="D241" s="67" t="s">
        <v>20</v>
      </c>
      <c r="E241" s="43"/>
      <c r="F241" s="480"/>
      <c r="G241" s="484"/>
      <c r="H241" s="96"/>
      <c r="I241" s="35"/>
      <c r="J241" s="24"/>
      <c r="K241" s="24"/>
      <c r="L241" s="24"/>
      <c r="M241" s="25"/>
      <c r="N241" s="25"/>
      <c r="O241" s="195"/>
    </row>
    <row r="242" spans="1:15" ht="15.95" customHeight="1" x14ac:dyDescent="0.25">
      <c r="A242" s="121"/>
      <c r="B242" s="23"/>
      <c r="C242" s="59" t="s">
        <v>14</v>
      </c>
      <c r="D242" s="68">
        <v>7.0000000000000007E-2</v>
      </c>
      <c r="E242" s="43"/>
      <c r="F242" s="480"/>
      <c r="G242" s="484"/>
      <c r="H242" s="23"/>
      <c r="I242" s="24"/>
      <c r="J242" s="24"/>
      <c r="K242" s="24"/>
      <c r="L242" s="24"/>
      <c r="M242" s="25"/>
      <c r="N242" s="25"/>
      <c r="O242" s="195"/>
    </row>
    <row r="243" spans="1:15" ht="15.95" customHeight="1" x14ac:dyDescent="0.25">
      <c r="A243" s="121"/>
      <c r="B243" s="23"/>
      <c r="C243" s="59" t="s">
        <v>31</v>
      </c>
      <c r="D243" s="68"/>
      <c r="E243" s="43"/>
      <c r="F243" s="480"/>
      <c r="G243" s="484"/>
      <c r="H243" s="23"/>
      <c r="I243" s="24"/>
      <c r="J243" s="24"/>
      <c r="K243" s="24"/>
      <c r="L243" s="24"/>
      <c r="M243" s="25"/>
      <c r="N243" s="25"/>
      <c r="O243" s="195"/>
    </row>
    <row r="244" spans="1:15" ht="15.95" customHeight="1" x14ac:dyDescent="0.25">
      <c r="A244" s="121"/>
      <c r="B244" s="23"/>
      <c r="C244" s="59" t="s">
        <v>32</v>
      </c>
      <c r="D244" s="68"/>
      <c r="E244" s="44"/>
      <c r="F244" s="480"/>
      <c r="G244" s="484"/>
      <c r="H244" s="23"/>
      <c r="I244" s="24"/>
      <c r="J244" s="24"/>
      <c r="K244" s="24"/>
      <c r="L244" s="24"/>
      <c r="M244" s="25"/>
      <c r="N244" s="25"/>
      <c r="O244" s="195"/>
    </row>
    <row r="245" spans="1:15" ht="15.95" customHeight="1" x14ac:dyDescent="0.25">
      <c r="A245" s="121"/>
      <c r="B245" s="23"/>
      <c r="C245" s="59" t="s">
        <v>369</v>
      </c>
      <c r="D245" s="100">
        <v>0.15</v>
      </c>
      <c r="E245" s="24"/>
      <c r="F245" s="480"/>
      <c r="G245" s="484"/>
      <c r="H245" s="23"/>
      <c r="I245" s="24"/>
      <c r="J245" s="24"/>
      <c r="K245" s="24"/>
      <c r="L245" s="24"/>
      <c r="M245" s="25"/>
      <c r="N245" s="25"/>
      <c r="O245" s="195"/>
    </row>
    <row r="246" spans="1:15" ht="15.95" customHeight="1" x14ac:dyDescent="0.25">
      <c r="A246" s="121"/>
      <c r="B246" s="23"/>
      <c r="C246" s="60" t="s">
        <v>21</v>
      </c>
      <c r="D246" s="406">
        <v>0.25</v>
      </c>
      <c r="E246" s="24"/>
      <c r="F246" s="480"/>
      <c r="G246" s="485"/>
      <c r="H246" s="23"/>
      <c r="I246" s="24"/>
      <c r="J246" s="24"/>
      <c r="K246" s="24"/>
      <c r="L246" s="24"/>
      <c r="M246" s="25"/>
      <c r="N246" s="25"/>
      <c r="O246" s="195"/>
    </row>
    <row r="247" spans="1:15" ht="15.95" customHeight="1" x14ac:dyDescent="0.25">
      <c r="A247" s="121"/>
      <c r="B247" s="23"/>
      <c r="C247" s="24"/>
      <c r="D247" s="24"/>
      <c r="E247" s="24"/>
      <c r="F247" s="480"/>
      <c r="G247" s="485"/>
      <c r="H247" s="23"/>
      <c r="I247" s="24"/>
      <c r="J247" s="24"/>
      <c r="K247" s="24"/>
      <c r="L247" s="24"/>
      <c r="M247" s="25"/>
      <c r="N247" s="25"/>
      <c r="O247" s="195"/>
    </row>
    <row r="248" spans="1:15" ht="15.95" customHeight="1" x14ac:dyDescent="0.25">
      <c r="A248" s="121"/>
      <c r="B248" s="23"/>
      <c r="C248" s="24"/>
      <c r="D248" s="24"/>
      <c r="E248" s="24"/>
      <c r="F248" s="480"/>
      <c r="G248" s="485"/>
      <c r="H248" s="23"/>
      <c r="I248" s="24"/>
      <c r="J248" s="24"/>
      <c r="K248" s="24"/>
      <c r="L248" s="24"/>
      <c r="M248" s="25"/>
      <c r="N248" s="25"/>
      <c r="O248" s="195"/>
    </row>
    <row r="249" spans="1:15" ht="15.95" customHeight="1" x14ac:dyDescent="0.25">
      <c r="A249" s="121"/>
      <c r="B249" s="23"/>
      <c r="C249" s="24"/>
      <c r="D249" s="24"/>
      <c r="E249" s="24"/>
      <c r="F249" s="480"/>
      <c r="G249" s="485"/>
      <c r="H249" s="23"/>
      <c r="I249" s="24"/>
      <c r="J249" s="24"/>
      <c r="K249" s="24"/>
      <c r="L249" s="24"/>
      <c r="M249" s="25"/>
      <c r="N249" s="25"/>
      <c r="O249" s="195"/>
    </row>
    <row r="250" spans="1:15" ht="15.95" customHeight="1" x14ac:dyDescent="0.25">
      <c r="A250" s="121"/>
      <c r="B250" s="23"/>
      <c r="C250" s="24"/>
      <c r="D250" s="24"/>
      <c r="E250" s="24"/>
      <c r="F250" s="480"/>
      <c r="G250" s="485"/>
      <c r="H250" s="23"/>
      <c r="I250" s="24"/>
      <c r="J250" s="24"/>
      <c r="K250" s="24"/>
      <c r="L250" s="24"/>
      <c r="M250" s="25"/>
      <c r="N250" s="25"/>
      <c r="O250" s="195"/>
    </row>
    <row r="251" spans="1:15" x14ac:dyDescent="0.25">
      <c r="A251" s="121"/>
      <c r="B251" s="23"/>
      <c r="C251" s="24"/>
      <c r="D251" s="24"/>
      <c r="E251" s="24"/>
      <c r="F251" s="480"/>
      <c r="G251" s="485"/>
      <c r="H251" s="26"/>
      <c r="I251" s="27"/>
      <c r="J251" s="27"/>
      <c r="K251" s="27"/>
      <c r="L251" s="27"/>
      <c r="M251" s="28"/>
      <c r="N251" s="25"/>
      <c r="O251" s="195"/>
    </row>
    <row r="252" spans="1:15" x14ac:dyDescent="0.25">
      <c r="A252" s="121"/>
      <c r="B252" s="26"/>
      <c r="C252" s="27"/>
      <c r="D252" s="27"/>
      <c r="E252" s="27"/>
      <c r="F252" s="481"/>
      <c r="G252" s="486"/>
      <c r="H252" s="27"/>
      <c r="I252" s="27"/>
      <c r="J252" s="27"/>
      <c r="K252" s="27"/>
      <c r="L252" s="27"/>
      <c r="M252" s="27"/>
      <c r="N252" s="28"/>
      <c r="O252" s="195"/>
    </row>
    <row r="253" spans="1:15" ht="18.75" x14ac:dyDescent="0.25">
      <c r="A253" s="121"/>
      <c r="B253" s="661" t="s">
        <v>77</v>
      </c>
      <c r="C253" s="662"/>
      <c r="D253" s="662"/>
      <c r="E253" s="662"/>
      <c r="F253" s="662"/>
      <c r="G253" s="662"/>
      <c r="H253" s="662"/>
      <c r="I253" s="662"/>
      <c r="J253" s="662"/>
      <c r="K253" s="662"/>
      <c r="L253" s="662"/>
      <c r="M253" s="662"/>
      <c r="N253" s="663"/>
      <c r="O253" s="195"/>
    </row>
    <row r="254" spans="1:15" x14ac:dyDescent="0.25">
      <c r="A254" s="121"/>
      <c r="B254" s="23"/>
      <c r="C254" s="24"/>
      <c r="D254" s="24"/>
      <c r="E254" s="24"/>
      <c r="F254" s="483"/>
      <c r="G254" s="484"/>
      <c r="H254" s="31"/>
      <c r="I254" s="31"/>
      <c r="J254" s="24"/>
      <c r="K254" s="24"/>
      <c r="L254" s="24"/>
      <c r="M254" s="24"/>
      <c r="N254" s="25"/>
      <c r="O254" s="195"/>
    </row>
    <row r="255" spans="1:15" ht="15" x14ac:dyDescent="0.25">
      <c r="A255" s="121"/>
      <c r="B255" s="23"/>
      <c r="C255" s="638" t="s">
        <v>37</v>
      </c>
      <c r="D255" s="639"/>
      <c r="E255" s="640"/>
      <c r="F255" s="483"/>
      <c r="G255" s="484"/>
      <c r="H255" s="641" t="s">
        <v>28</v>
      </c>
      <c r="I255" s="642"/>
      <c r="J255" s="39">
        <f>+$D$273-SUMIF($H$261:$H$275,"&lt;"&amp;$M$4,$K$261:$K$275)</f>
        <v>0</v>
      </c>
      <c r="K255" s="24"/>
      <c r="L255" s="24"/>
      <c r="M255" s="24"/>
      <c r="N255" s="25"/>
      <c r="O255" s="195"/>
    </row>
    <row r="256" spans="1:15" ht="15" x14ac:dyDescent="0.25">
      <c r="A256" s="121"/>
      <c r="B256" s="23"/>
      <c r="C256" s="58"/>
      <c r="D256" s="664"/>
      <c r="E256" s="665"/>
      <c r="F256" s="483"/>
      <c r="G256" s="484"/>
      <c r="H256" s="645" t="s">
        <v>29</v>
      </c>
      <c r="I256" s="646"/>
      <c r="J256" s="40">
        <f>+$D$272</f>
        <v>44450</v>
      </c>
      <c r="K256" s="24"/>
      <c r="L256" s="24"/>
      <c r="M256" s="24"/>
      <c r="N256" s="25"/>
      <c r="O256" s="195"/>
    </row>
    <row r="257" spans="1:17" ht="20.100000000000001" customHeight="1" x14ac:dyDescent="0.25">
      <c r="A257" s="121"/>
      <c r="B257" s="23"/>
      <c r="C257" s="59" t="s">
        <v>25</v>
      </c>
      <c r="D257" s="658"/>
      <c r="E257" s="659"/>
      <c r="F257" s="483"/>
      <c r="G257" s="484"/>
      <c r="H257" s="649" t="s">
        <v>30</v>
      </c>
      <c r="I257" s="650"/>
      <c r="J257" s="42" t="str">
        <f t="array" ref="J257">+IF($H$274&gt;=$M$4,MIN(IF($H$261:$H$275&gt;$M$4,$H$261:$H$275,"")),"vencida")</f>
        <v>vencida</v>
      </c>
      <c r="K257" s="24"/>
      <c r="L257" s="24"/>
      <c r="M257" s="24"/>
      <c r="N257" s="25"/>
      <c r="O257" s="195"/>
    </row>
    <row r="258" spans="1:17" ht="15.95" customHeight="1" x14ac:dyDescent="0.25">
      <c r="A258" s="121"/>
      <c r="B258" s="23"/>
      <c r="C258" s="59" t="s">
        <v>6</v>
      </c>
      <c r="D258" s="658" t="s">
        <v>76</v>
      </c>
      <c r="E258" s="659"/>
      <c r="F258" s="483"/>
      <c r="G258" s="484"/>
      <c r="H258" s="24"/>
      <c r="I258" s="24"/>
      <c r="J258" s="24"/>
      <c r="K258" s="24"/>
      <c r="L258" s="24"/>
      <c r="M258" s="24"/>
      <c r="N258" s="25"/>
      <c r="O258" s="195"/>
    </row>
    <row r="259" spans="1:17" ht="20.100000000000001" customHeight="1" x14ac:dyDescent="0.25">
      <c r="A259" s="121"/>
      <c r="B259" s="23"/>
      <c r="C259" s="59" t="s">
        <v>8</v>
      </c>
      <c r="D259" s="658" t="s">
        <v>17</v>
      </c>
      <c r="E259" s="659"/>
      <c r="F259" s="483"/>
      <c r="G259" s="484"/>
      <c r="H259" s="651" t="s">
        <v>41</v>
      </c>
      <c r="I259" s="652"/>
      <c r="J259" s="652"/>
      <c r="K259" s="652"/>
      <c r="L259" s="653"/>
      <c r="M259" s="24"/>
      <c r="N259" s="25"/>
      <c r="O259" s="195"/>
    </row>
    <row r="260" spans="1:17" ht="15.95" customHeight="1" x14ac:dyDescent="0.25">
      <c r="A260" s="121"/>
      <c r="B260" s="23"/>
      <c r="C260" s="59" t="s">
        <v>33</v>
      </c>
      <c r="D260" s="73" t="s">
        <v>309</v>
      </c>
      <c r="E260" s="273">
        <v>1</v>
      </c>
      <c r="F260" s="483">
        <f>+E260*J255</f>
        <v>0</v>
      </c>
      <c r="G260" s="484"/>
      <c r="H260" s="81" t="s">
        <v>0</v>
      </c>
      <c r="I260" s="82" t="s">
        <v>2</v>
      </c>
      <c r="J260" s="82" t="s">
        <v>3</v>
      </c>
      <c r="K260" s="82" t="s">
        <v>4</v>
      </c>
      <c r="L260" s="83" t="s">
        <v>5</v>
      </c>
      <c r="M260" s="82" t="s">
        <v>44</v>
      </c>
      <c r="N260" s="25"/>
      <c r="O260" s="195"/>
    </row>
    <row r="261" spans="1:17" ht="15.95" customHeight="1" x14ac:dyDescent="0.25">
      <c r="A261" s="121"/>
      <c r="B261" s="23"/>
      <c r="C261" s="59" t="s">
        <v>34</v>
      </c>
      <c r="D261" s="658" t="s">
        <v>48</v>
      </c>
      <c r="E261" s="659"/>
      <c r="F261" s="483"/>
      <c r="G261" s="484"/>
      <c r="H261" s="45"/>
      <c r="I261" s="46"/>
      <c r="J261" s="46"/>
      <c r="K261" s="46"/>
      <c r="L261" s="47"/>
      <c r="M261" s="23"/>
      <c r="N261" s="25"/>
      <c r="O261" s="194" t="str">
        <f>+D301</f>
        <v>ON Pyme CNV Garantizada</v>
      </c>
    </row>
    <row r="262" spans="1:17" ht="15.95" customHeight="1" x14ac:dyDescent="0.25">
      <c r="A262" s="121"/>
      <c r="B262" s="23"/>
      <c r="C262" s="79" t="s">
        <v>38</v>
      </c>
      <c r="D262" s="75"/>
      <c r="E262" s="76"/>
      <c r="F262" s="483"/>
      <c r="G262" s="484"/>
      <c r="H262" s="48">
        <f>+$D$271</f>
        <v>43354</v>
      </c>
      <c r="I262" s="70"/>
      <c r="J262" s="49"/>
      <c r="K262" s="49"/>
      <c r="L262" s="50">
        <f>+D273</f>
        <v>3000000</v>
      </c>
      <c r="M262" s="93">
        <f>-L262</f>
        <v>-3000000</v>
      </c>
      <c r="N262" s="25"/>
      <c r="O262" s="195"/>
    </row>
    <row r="263" spans="1:17" ht="15.95" customHeight="1" x14ac:dyDescent="0.25">
      <c r="A263" s="121"/>
      <c r="B263" s="23"/>
      <c r="C263" s="59"/>
      <c r="D263" s="73"/>
      <c r="E263" s="74"/>
      <c r="F263" s="483"/>
      <c r="G263" s="484"/>
      <c r="H263" s="51">
        <f>IF(DAY(H262)=DAY($H$262),IF(WEEKDAY(EDATE(H262,$D$274),3)&lt;5,EDATE(H262,$D$274),WORKDAY(EDATE(H262,$D$274),1)),IF(WEEKDAY(EDATE($H$262,$D$274*COUNT($H$262:H262)),3)&lt;5,EDATE($H$262,$D$274*COUNT($H$262:H262)),WORKDAY(EDATE($H$262,$D$274*COUNT($H$262:H262)),1)))</f>
        <v>43445</v>
      </c>
      <c r="I263" s="71" t="s">
        <v>7</v>
      </c>
      <c r="J263" s="52">
        <f>(IF(AND($D$277&lt;&gt;"",$D$277&gt;(AVERAGE(VLOOKUP(WORKDAY.INTL(H263,-7,1,),'Tasas-TC'!A:B,2,FALSE),VLOOKUP(WORKDAY.INTL(H262,-7,1,),'Tasas-TC'!A:B,2,FALSE))+$D$276)),$D$277,IF(AND($D$278&lt;&gt;"",$D$278&lt;(AVERAGE(VLOOKUP(WORKDAY.INTL(H263,-7,1,),'Tasas-TC'!A:B,2,FALSE),VLOOKUP(WORKDAY.INTL(H262,-7,1,),'Tasas-TC'!A:B,2,FALSE))+$D$276)),$D$278,(AVERAGE(VLOOKUP(WORKDAY.INTL(H263,-7,1,),'Tasas-TC'!A:B,2,FALSE),VLOOKUP(WORKDAY.INTL(H262,-7,1,),'Tasas-TC'!A:B,2,FALSE))+$D$276)))/360)*(H263-H262)*L262</f>
        <v>280583.33333333331</v>
      </c>
      <c r="K263" s="52">
        <f t="shared" ref="K263:K274" si="29">+IF(OR(I263="A + C",I263="A"),$D$273*$D$279,0)</f>
        <v>0</v>
      </c>
      <c r="L263" s="53">
        <f t="shared" ref="L263:L274" si="30">+L262-K263</f>
        <v>3000000</v>
      </c>
      <c r="M263" s="94">
        <f t="shared" ref="M263:M274" si="31">+J263+K263</f>
        <v>280583.33333333331</v>
      </c>
      <c r="N263" s="25"/>
      <c r="O263" s="194" t="str">
        <f>+IF(J299="vencida",IF(D301='Reporte - Oscuro'!$C$40,'Reporte - Oscuro'!$C$40&amp;" vencida",IF(D301='Reporte - Oscuro'!$C$41,'Reporte - Oscuro'!$C$41&amp;" vencida",IF(D301='Reporte - Oscuro'!$C$42,'Reporte - Oscuro'!$C$42&amp;" vencida",'Reporte - Oscuro'!$C$43&amp;" vencida"))),D301&amp;" vigente")</f>
        <v>ON Pyme CNV Garantizada vencida</v>
      </c>
    </row>
    <row r="264" spans="1:17" ht="15.95" customHeight="1" x14ac:dyDescent="0.25">
      <c r="A264" s="121"/>
      <c r="B264" s="23"/>
      <c r="C264" s="60"/>
      <c r="D264" s="77"/>
      <c r="E264" s="78"/>
      <c r="F264" s="483"/>
      <c r="G264" s="484"/>
      <c r="H264" s="51">
        <f>IF(DAY(H263)=DAY($H$262),IF(WEEKDAY(EDATE(H263,$D$274),3)&lt;5,EDATE(H263,$D$274),WORKDAY(EDATE(H263,$D$274),1)),IF(WEEKDAY(EDATE($H$262,$D$274*COUNT($H$262:H263)),3)&lt;5,EDATE($H$262,$D$274*COUNT($H$262:H263)),WORKDAY(EDATE($H$262,$D$274*COUNT($H$262:H263)),1)))</f>
        <v>43535</v>
      </c>
      <c r="I264" s="71" t="s">
        <v>7</v>
      </c>
      <c r="J264" s="52">
        <f>(IF(AND($D$277&lt;&gt;"",$D$277&gt;(AVERAGE(VLOOKUP(WORKDAY.INTL(H264,-7,1,),'Tasas-TC'!A:B,2,FALSE),VLOOKUP(WORKDAY.INTL(H263,-7,1,),'Tasas-TC'!A:B,2,FALSE))+$D$276)),$D$277,IF(AND($D$278&lt;&gt;"",$D$278&lt;(AVERAGE(VLOOKUP(WORKDAY.INTL(H264,-7,1,),'Tasas-TC'!A:B,2,FALSE),VLOOKUP(WORKDAY.INTL(H263,-7,1,),'Tasas-TC'!A:B,2,FALSE))+$D$276)),$D$278,(AVERAGE(VLOOKUP(WORKDAY.INTL(H264,-7,1,),'Tasas-TC'!A:B,2,FALSE),VLOOKUP(WORKDAY.INTL(H263,-7,1,),'Tasas-TC'!A:B,2,FALSE))+$D$276)))/360)*(H264-H263)*L263</f>
        <v>277500.00000000006</v>
      </c>
      <c r="K264" s="52">
        <f t="shared" si="29"/>
        <v>0</v>
      </c>
      <c r="L264" s="53">
        <f t="shared" si="30"/>
        <v>3000000</v>
      </c>
      <c r="M264" s="94">
        <f t="shared" si="31"/>
        <v>277500.00000000006</v>
      </c>
      <c r="N264" s="25"/>
      <c r="O264" s="195"/>
    </row>
    <row r="265" spans="1:17" ht="15.95" customHeight="1" x14ac:dyDescent="0.25">
      <c r="A265" s="121"/>
      <c r="B265" s="23"/>
      <c r="C265" s="60"/>
      <c r="D265" s="666" t="str">
        <f>+B253</f>
        <v>Azlepi I</v>
      </c>
      <c r="E265" s="667"/>
      <c r="F265" s="483"/>
      <c r="G265" s="484">
        <f>+J255</f>
        <v>0</v>
      </c>
      <c r="H265" s="51">
        <f>IF(DAY(H264)=DAY($H$262),IF(WEEKDAY(EDATE(H264,$D$274),3)&lt;5,EDATE(H264,$D$274),WORKDAY(EDATE(H264,$D$274),1)),IF(WEEKDAY(EDATE($H$262,$D$274*COUNT($H$262:H264)),3)&lt;5,EDATE($H$262,$D$274*COUNT($H$262:H264)),WORKDAY(EDATE($H$262,$D$274*COUNT($H$262:H264)),1)))</f>
        <v>43627</v>
      </c>
      <c r="I265" s="71" t="s">
        <v>7</v>
      </c>
      <c r="J265" s="52">
        <f>(IF(AND($D$277&lt;&gt;"",$D$277&gt;(AVERAGE(VLOOKUP(WORKDAY.INTL(H265,-7,1,),'Tasas-TC'!A:B,2,FALSE),VLOOKUP(WORKDAY.INTL(H264,-7,1,),'Tasas-TC'!A:B,2,FALSE))+$D$276)),$D$277,IF(AND($D$278&lt;&gt;"",$D$278&lt;(AVERAGE(VLOOKUP(WORKDAY.INTL(H265,-7,1,),'Tasas-TC'!A:B,2,FALSE),VLOOKUP(WORKDAY.INTL(H264,-7,1,),'Tasas-TC'!A:B,2,FALSE))+$D$276)),$D$278,(AVERAGE(VLOOKUP(WORKDAY.INTL(H265,-7,1,),'Tasas-TC'!A:B,2,FALSE),VLOOKUP(WORKDAY.INTL(H264,-7,1,),'Tasas-TC'!A:B,2,FALSE))+$D$276)))/360)*(H265-H264)*L264</f>
        <v>283666.66666666669</v>
      </c>
      <c r="K265" s="52">
        <f t="shared" si="29"/>
        <v>0</v>
      </c>
      <c r="L265" s="53">
        <f t="shared" si="30"/>
        <v>3000000</v>
      </c>
      <c r="M265" s="94">
        <f t="shared" si="31"/>
        <v>283666.66666666669</v>
      </c>
      <c r="N265" s="25"/>
      <c r="O265" s="195"/>
    </row>
    <row r="266" spans="1:17" ht="15.95" customHeight="1" x14ac:dyDescent="0.25">
      <c r="A266" s="121"/>
      <c r="B266" s="32"/>
      <c r="D266" s="644"/>
      <c r="E266" s="660"/>
      <c r="F266" s="483"/>
      <c r="G266" s="484"/>
      <c r="H266" s="51">
        <f>IF(DAY(H265)=DAY($H$262),IF(WEEKDAY(EDATE(H265,$D$274),3)&lt;5,EDATE(H265,$D$274),WORKDAY(EDATE(H265,$D$274),1)),IF(WEEKDAY(EDATE($H$262,$D$274*COUNT($H$262:H265)),3)&lt;5,EDATE($H$262,$D$274*COUNT($H$262:H265)),WORKDAY(EDATE($H$262,$D$274*COUNT($H$262:H265)),1)))</f>
        <v>43719</v>
      </c>
      <c r="I266" s="71" t="s">
        <v>7</v>
      </c>
      <c r="J266" s="52">
        <f>(IF(AND($D$277&lt;&gt;"",$D$277&gt;(AVERAGE(VLOOKUP(WORKDAY.INTL(H266,-7,1,),'Tasas-TC'!A:B,2,FALSE),VLOOKUP(WORKDAY.INTL(H265,-7,1,),'Tasas-TC'!A:B,2,FALSE))+$D$276)),$D$277,IF(AND($D$278&lt;&gt;"",$D$278&lt;(AVERAGE(VLOOKUP(WORKDAY.INTL(H266,-7,1,),'Tasas-TC'!A:B,2,FALSE),VLOOKUP(WORKDAY.INTL(H265,-7,1,),'Tasas-TC'!A:B,2,FALSE))+$D$276)),$D$278,(AVERAGE(VLOOKUP(WORKDAY.INTL(H266,-7,1,),'Tasas-TC'!A:B,2,FALSE),VLOOKUP(WORKDAY.INTL(H265,-7,1,),'Tasas-TC'!A:B,2,FALSE))+$D$276)))/360)*(H266-H265)*L265</f>
        <v>283666.66666666669</v>
      </c>
      <c r="K266" s="52">
        <f t="shared" si="29"/>
        <v>0</v>
      </c>
      <c r="L266" s="53">
        <f t="shared" si="30"/>
        <v>3000000</v>
      </c>
      <c r="M266" s="94">
        <f t="shared" si="31"/>
        <v>283666.66666666669</v>
      </c>
      <c r="N266" s="25"/>
      <c r="O266" s="195"/>
    </row>
    <row r="267" spans="1:17" ht="15.95" customHeight="1" x14ac:dyDescent="0.25">
      <c r="A267" s="121"/>
      <c r="B267" s="23"/>
      <c r="C267" s="638" t="s">
        <v>36</v>
      </c>
      <c r="D267" s="640"/>
      <c r="E267" s="36"/>
      <c r="F267" s="483"/>
      <c r="G267" s="484"/>
      <c r="H267" s="51">
        <f>IF(DAY(H266)=DAY($H$262),IF(WEEKDAY(EDATE(H266,$D$274),3)&lt;5,EDATE(H266,$D$274),WORKDAY(EDATE(H266,$D$274),1)),IF(WEEKDAY(EDATE($H$262,$D$274*COUNT($H$262:H266)),3)&lt;5,EDATE($H$262,$D$274*COUNT($H$262:H266)),WORKDAY(EDATE($H$262,$D$274*COUNT($H$262:H266)),1)))</f>
        <v>43810</v>
      </c>
      <c r="I267" s="71" t="s">
        <v>13</v>
      </c>
      <c r="J267" s="52">
        <f>(IF(AND($D$277&lt;&gt;"",$D$277&gt;(AVERAGE(VLOOKUP(WORKDAY.INTL(H267,-7,1,),'Tasas-TC'!A:B,2,FALSE),VLOOKUP(WORKDAY.INTL(H266,-7,1,),'Tasas-TC'!A:B,2,FALSE))+$D$276)),$D$277,IF(AND($D$278&lt;&gt;"",$D$278&lt;(AVERAGE(VLOOKUP(WORKDAY.INTL(H267,-7,1,),'Tasas-TC'!A:B,2,FALSE),VLOOKUP(WORKDAY.INTL(H266,-7,1,),'Tasas-TC'!A:B,2,FALSE))+$D$276)),$D$278,(AVERAGE(VLOOKUP(WORKDAY.INTL(H267,-7,1,),'Tasas-TC'!A:B,2,FALSE),VLOOKUP(WORKDAY.INTL(H266,-7,1,),'Tasas-TC'!A:B,2,FALSE))+$D$276)))/360)*(H267-H266)*L266</f>
        <v>280583.33333333331</v>
      </c>
      <c r="K267" s="52">
        <f t="shared" si="29"/>
        <v>375000</v>
      </c>
      <c r="L267" s="53">
        <f t="shared" si="30"/>
        <v>2625000</v>
      </c>
      <c r="M267" s="94">
        <f t="shared" si="31"/>
        <v>655583.33333333326</v>
      </c>
      <c r="N267" s="25"/>
      <c r="O267" s="195"/>
    </row>
    <row r="268" spans="1:17" ht="15.95" customHeight="1" x14ac:dyDescent="0.25">
      <c r="A268" s="121"/>
      <c r="B268" s="23"/>
      <c r="C268" s="59"/>
      <c r="D268" s="62"/>
      <c r="E268" s="36"/>
      <c r="F268" s="483"/>
      <c r="G268" s="484"/>
      <c r="H268" s="51">
        <f>IF(DAY(H267)=DAY($H$262),IF(WEEKDAY(EDATE(H267,$D$274),3)&lt;5,EDATE(H267,$D$274),WORKDAY(EDATE(H267,$D$274),1)),IF(WEEKDAY(EDATE($H$262,$D$274*COUNT($H$262:H267)),3)&lt;5,EDATE($H$262,$D$274*COUNT($H$262:H267)),WORKDAY(EDATE($H$262,$D$274*COUNT($H$262:H267)),1)))</f>
        <v>43901</v>
      </c>
      <c r="I268" s="71" t="s">
        <v>13</v>
      </c>
      <c r="J268" s="52">
        <f>(IF(AND($D$277&lt;&gt;"",$D$277&gt;(AVERAGE(VLOOKUP(WORKDAY.INTL(H268,-7,1,),'Tasas-TC'!A:B,2,FALSE),VLOOKUP(WORKDAY.INTL(H267,-7,1,),'Tasas-TC'!A:B,2,FALSE))+$D$276)),$D$277,IF(AND($D$278&lt;&gt;"",$D$278&lt;(AVERAGE(VLOOKUP(WORKDAY.INTL(H268,-7,1,),'Tasas-TC'!A:B,2,FALSE),VLOOKUP(WORKDAY.INTL(H267,-7,1,),'Tasas-TC'!A:B,2,FALSE))+$D$276)),$D$278,(AVERAGE(VLOOKUP(WORKDAY.INTL(H268,-7,1,),'Tasas-TC'!A:B,2,FALSE),VLOOKUP(WORKDAY.INTL(H267,-7,1,),'Tasas-TC'!A:B,2,FALSE))+$D$276)))/360)*(H268-H267)*L267</f>
        <v>245510.41666666666</v>
      </c>
      <c r="K268" s="52">
        <f t="shared" si="29"/>
        <v>375000</v>
      </c>
      <c r="L268" s="53">
        <f t="shared" si="30"/>
        <v>2250000</v>
      </c>
      <c r="M268" s="94">
        <f t="shared" si="31"/>
        <v>620510.41666666663</v>
      </c>
      <c r="N268" s="25"/>
      <c r="O268" s="197">
        <f>+M304</f>
        <v>-30000000</v>
      </c>
      <c r="P268" s="197">
        <f>-M304</f>
        <v>30000000</v>
      </c>
      <c r="Q268" s="197"/>
    </row>
    <row r="269" spans="1:17" ht="15.95" customHeight="1" x14ac:dyDescent="0.25">
      <c r="A269" s="121"/>
      <c r="B269" s="23"/>
      <c r="C269" s="59" t="s">
        <v>9</v>
      </c>
      <c r="D269" s="98" t="s">
        <v>18</v>
      </c>
      <c r="E269" s="36"/>
      <c r="F269" s="483"/>
      <c r="G269" s="484"/>
      <c r="H269" s="51">
        <f>IF(DAY(H268)=DAY($H$262),IF(WEEKDAY(EDATE(H268,$D$274),3)&lt;5,EDATE(H268,$D$274),WORKDAY(EDATE(H268,$D$274),1)),IF(WEEKDAY(EDATE($H$262,$D$274*COUNT($H$262:H268)),3)&lt;5,EDATE($H$262,$D$274*COUNT($H$262:H268)),WORKDAY(EDATE($H$262,$D$274*COUNT($H$262:H268)),1)))</f>
        <v>43993</v>
      </c>
      <c r="I269" s="71" t="s">
        <v>13</v>
      </c>
      <c r="J269" s="52">
        <f>(IF(AND($D$277&lt;&gt;"",$D$277&gt;(AVERAGE(VLOOKUP(WORKDAY.INTL(H269,-7,1,),'Tasas-TC'!A:B,2,FALSE),VLOOKUP(WORKDAY.INTL(H268,-7,1,),'Tasas-TC'!A:B,2,FALSE))+$D$276)),$D$277,IF(AND($D$278&lt;&gt;"",$D$278&lt;(AVERAGE(VLOOKUP(WORKDAY.INTL(H269,-7,1,),'Tasas-TC'!A:B,2,FALSE),VLOOKUP(WORKDAY.INTL(H268,-7,1,),'Tasas-TC'!A:B,2,FALSE))+$D$276)),$D$278,(AVERAGE(VLOOKUP(WORKDAY.INTL(H269,-7,1,),'Tasas-TC'!A:B,2,FALSE),VLOOKUP(WORKDAY.INTL(H268,-7,1,),'Tasas-TC'!A:B,2,FALSE))+$D$276)))/360)*(H269-H268)*L268</f>
        <v>212750</v>
      </c>
      <c r="K269" s="52">
        <f t="shared" si="29"/>
        <v>375000</v>
      </c>
      <c r="L269" s="53">
        <f t="shared" si="30"/>
        <v>1875000</v>
      </c>
      <c r="M269" s="94">
        <f t="shared" si="31"/>
        <v>587750</v>
      </c>
      <c r="N269" s="25"/>
      <c r="O269" s="197">
        <f t="shared" ref="O269:O280" si="32">+M305+O268</f>
        <v>-23161281.25</v>
      </c>
      <c r="P269" s="197">
        <f t="shared" ref="P269:P280" si="33">+(M305/(1+$J$320)^((H305-$H$304)/365))/$P$268</f>
        <v>0.22795729166666667</v>
      </c>
      <c r="Q269" s="197">
        <f t="shared" ref="Q269:Q280" si="34">+P269*((H305-$H$304)/365)</f>
        <v>5.683318778538813E-2</v>
      </c>
    </row>
    <row r="270" spans="1:17" ht="15.95" customHeight="1" x14ac:dyDescent="0.25">
      <c r="A270" s="121"/>
      <c r="B270" s="23"/>
      <c r="C270" s="59" t="s">
        <v>10</v>
      </c>
      <c r="D270" s="65">
        <v>43347</v>
      </c>
      <c r="E270" s="36"/>
      <c r="F270" s="483"/>
      <c r="G270" s="484"/>
      <c r="H270" s="51">
        <f>IF(DAY(H269)=DAY($H$262),IF(WEEKDAY(EDATE(H269,$D$274),3)&lt;5,EDATE(H269,$D$274),WORKDAY(EDATE(H269,$D$274),1)),IF(WEEKDAY(EDATE($H$262,$D$274*COUNT($H$262:H269)),3)&lt;5,EDATE($H$262,$D$274*COUNT($H$262:H269)),WORKDAY(EDATE($H$262,$D$274*COUNT($H$262:H269)),1)))</f>
        <v>44085</v>
      </c>
      <c r="I270" s="71" t="s">
        <v>13</v>
      </c>
      <c r="J270" s="52">
        <f>(IF(AND($D$277&lt;&gt;"",$D$277&gt;(AVERAGE(VLOOKUP(WORKDAY.INTL(H270,-7,1,),'Tasas-TC'!A:B,2,FALSE),VLOOKUP(WORKDAY.INTL(H269,-7,1,),'Tasas-TC'!A:B,2,FALSE))+$D$276)),$D$277,IF(AND($D$278&lt;&gt;"",$D$278&lt;(AVERAGE(VLOOKUP(WORKDAY.INTL(H270,-7,1,),'Tasas-TC'!A:B,2,FALSE),VLOOKUP(WORKDAY.INTL(H269,-7,1,),'Tasas-TC'!A:B,2,FALSE))+$D$276)),$D$278,(AVERAGE(VLOOKUP(WORKDAY.INTL(H270,-7,1,),'Tasas-TC'!A:B,2,FALSE),VLOOKUP(WORKDAY.INTL(H269,-7,1,),'Tasas-TC'!A:B,2,FALSE))+$D$276)))/360)*(H270-H269)*L269</f>
        <v>175644.53125</v>
      </c>
      <c r="K270" s="52">
        <f t="shared" si="29"/>
        <v>375000</v>
      </c>
      <c r="L270" s="53">
        <f t="shared" si="30"/>
        <v>1500000</v>
      </c>
      <c r="M270" s="94">
        <f t="shared" si="31"/>
        <v>550644.53125</v>
      </c>
      <c r="N270" s="25"/>
      <c r="O270" s="197">
        <f t="shared" si="32"/>
        <v>-16438529.208333332</v>
      </c>
      <c r="P270" s="197">
        <f t="shared" si="33"/>
        <v>0.22409173472222224</v>
      </c>
      <c r="Q270" s="197">
        <f t="shared" si="34"/>
        <v>0.11235284234018267</v>
      </c>
    </row>
    <row r="271" spans="1:17" ht="15.95" customHeight="1" x14ac:dyDescent="0.25">
      <c r="A271" s="121"/>
      <c r="B271" s="23"/>
      <c r="C271" s="59" t="s">
        <v>11</v>
      </c>
      <c r="D271" s="65">
        <v>43354</v>
      </c>
      <c r="E271" s="36"/>
      <c r="F271" s="483"/>
      <c r="G271" s="484"/>
      <c r="H271" s="51">
        <f>IF(DAY(H270)=DAY($H$262),IF(WEEKDAY(EDATE(H270,$D$274),3)&lt;5,EDATE(H270,$D$274),WORKDAY(EDATE(H270,$D$274),1)),IF(WEEKDAY(EDATE($H$262,$D$274*COUNT($H$262:H270)),3)&lt;5,EDATE($H$262,$D$274*COUNT($H$262:H270)),WORKDAY(EDATE($H$262,$D$274*COUNT($H$262:H270)),1)))</f>
        <v>44176</v>
      </c>
      <c r="I271" s="71" t="s">
        <v>13</v>
      </c>
      <c r="J271" s="52">
        <f>(IF(AND($D$277&lt;&gt;"",$D$277&gt;(AVERAGE(VLOOKUP(WORKDAY.INTL(H271,-7,1,),'Tasas-TC'!A:B,2,FALSE),VLOOKUP(WORKDAY.INTL(H270,-7,1,),'Tasas-TC'!A:B,2,FALSE))+$D$276)),$D$277,IF(AND($D$278&lt;&gt;"",$D$278&lt;(AVERAGE(VLOOKUP(WORKDAY.INTL(H271,-7,1,),'Tasas-TC'!A:B,2,FALSE),VLOOKUP(WORKDAY.INTL(H270,-7,1,),'Tasas-TC'!A:B,2,FALSE))+$D$276)),$D$278,(AVERAGE(VLOOKUP(WORKDAY.INTL(H271,-7,1,),'Tasas-TC'!A:B,2,FALSE),VLOOKUP(WORKDAY.INTL(H270,-7,1,),'Tasas-TC'!A:B,2,FALSE))+$D$276)))/360)*(H271-H270)*L270</f>
        <v>140291.66666666666</v>
      </c>
      <c r="K271" s="52">
        <f t="shared" si="29"/>
        <v>375000</v>
      </c>
      <c r="L271" s="53">
        <f t="shared" si="30"/>
        <v>1125000</v>
      </c>
      <c r="M271" s="94">
        <f t="shared" si="31"/>
        <v>515291.66666666663</v>
      </c>
      <c r="N271" s="25"/>
      <c r="O271" s="197">
        <f t="shared" si="32"/>
        <v>-10525009.166666664</v>
      </c>
      <c r="P271" s="197">
        <f t="shared" si="33"/>
        <v>0.19711733472222223</v>
      </c>
      <c r="Q271" s="197">
        <f t="shared" si="34"/>
        <v>0.14851306040715373</v>
      </c>
    </row>
    <row r="272" spans="1:17" ht="15.95" customHeight="1" x14ac:dyDescent="0.25">
      <c r="A272" s="121"/>
      <c r="B272" s="23"/>
      <c r="C272" s="59" t="s">
        <v>12</v>
      </c>
      <c r="D272" s="65">
        <v>44450</v>
      </c>
      <c r="E272" s="36"/>
      <c r="F272" s="483"/>
      <c r="G272" s="484"/>
      <c r="H272" s="51">
        <f>IF(DAY(H271)=DAY($H$262),IF(WEEKDAY(EDATE(H271,$D$274),3)&lt;5,EDATE(H271,$D$274),WORKDAY(EDATE(H271,$D$274),1)),IF(WEEKDAY(EDATE($H$262,$D$274*COUNT($H$262:H271)),3)&lt;5,EDATE($H$262,$D$274*COUNT($H$262:H271)),WORKDAY(EDATE($H$262,$D$274*COUNT($H$262:H271)),1)))</f>
        <v>44266</v>
      </c>
      <c r="I272" s="71" t="s">
        <v>13</v>
      </c>
      <c r="J272" s="52">
        <f>(IF(AND($D$277&lt;&gt;"",$D$277&gt;(AVERAGE(VLOOKUP(WORKDAY.INTL(H272,-7,1,),'Tasas-TC'!A:B,2,FALSE),VLOOKUP(WORKDAY.INTL(H271,-7,1,),'Tasas-TC'!A:B,2,FALSE))+$D$276)),$D$277,IF(AND($D$278&lt;&gt;"",$D$278&lt;(AVERAGE(VLOOKUP(WORKDAY.INTL(H272,-7,1,),'Tasas-TC'!A:B,2,FALSE),VLOOKUP(WORKDAY.INTL(H271,-7,1,),'Tasas-TC'!A:B,2,FALSE))+$D$276)),$D$278,(AVERAGE(VLOOKUP(WORKDAY.INTL(H272,-7,1,),'Tasas-TC'!A:B,2,FALSE),VLOOKUP(WORKDAY.INTL(H271,-7,1,),'Tasas-TC'!A:B,2,FALSE))+$D$276)))/360)*(H272-H271)*L271</f>
        <v>104062.50000000001</v>
      </c>
      <c r="K272" s="52">
        <f t="shared" si="29"/>
        <v>375000</v>
      </c>
      <c r="L272" s="53">
        <f t="shared" si="30"/>
        <v>750000</v>
      </c>
      <c r="M272" s="94">
        <f t="shared" si="31"/>
        <v>479062.5</v>
      </c>
      <c r="N272" s="25"/>
      <c r="O272" s="197">
        <f t="shared" si="32"/>
        <v>-6022253.7812499981</v>
      </c>
      <c r="P272" s="197">
        <f t="shared" si="33"/>
        <v>0.15009184618055554</v>
      </c>
      <c r="Q272" s="197">
        <f t="shared" si="34"/>
        <v>0.15050305671803654</v>
      </c>
    </row>
    <row r="273" spans="1:17" ht="15.95" customHeight="1" x14ac:dyDescent="0.25">
      <c r="A273" s="121"/>
      <c r="B273" s="23"/>
      <c r="C273" s="59" t="s">
        <v>27</v>
      </c>
      <c r="D273" s="66">
        <v>3000000</v>
      </c>
      <c r="E273" s="41"/>
      <c r="F273" s="480"/>
      <c r="G273" s="484"/>
      <c r="H273" s="51">
        <f>IF(DAY(H272)=DAY($H$262),IF(WEEKDAY(EDATE(H272,$D$274),3)&lt;5,EDATE(H272,$D$274),WORKDAY(EDATE(H272,$D$274),1)),IF(WEEKDAY(EDATE($H$262,$D$274*COUNT($H$262:H272)),3)&lt;5,EDATE($H$262,$D$274*COUNT($H$262:H272)),WORKDAY(EDATE($H$262,$D$274*COUNT($H$262:H272)),1)))</f>
        <v>44358</v>
      </c>
      <c r="I273" s="71" t="s">
        <v>13</v>
      </c>
      <c r="J273" s="52">
        <f>(IF(AND($D$277&lt;&gt;"",$D$277&gt;(AVERAGE(VLOOKUP(WORKDAY.INTL(H273,-7,1,),'Tasas-TC'!A:B,2,FALSE),VLOOKUP(WORKDAY.INTL(H272,-7,1,),'Tasas-TC'!A:B,2,FALSE))+$D$276)),$D$277,IF(AND($D$278&lt;&gt;"",$D$278&lt;(AVERAGE(VLOOKUP(WORKDAY.INTL(H273,-7,1,),'Tasas-TC'!A:B,2,FALSE),VLOOKUP(WORKDAY.INTL(H272,-7,1,),'Tasas-TC'!A:B,2,FALSE))+$D$276)),$D$278,(AVERAGE(VLOOKUP(WORKDAY.INTL(H273,-7,1,),'Tasas-TC'!A:B,2,FALSE),VLOOKUP(WORKDAY.INTL(H272,-7,1,),'Tasas-TC'!A:B,2,FALSE))+$D$276)))/360)*(H273-H272)*L272</f>
        <v>70916.666666666672</v>
      </c>
      <c r="K273" s="52">
        <f t="shared" si="29"/>
        <v>375000</v>
      </c>
      <c r="L273" s="53">
        <f t="shared" si="30"/>
        <v>375000</v>
      </c>
      <c r="M273" s="94">
        <f t="shared" si="31"/>
        <v>445916.66666666669</v>
      </c>
      <c r="N273" s="25"/>
      <c r="O273" s="197">
        <f t="shared" si="32"/>
        <v>-1879434.6770833312</v>
      </c>
      <c r="P273" s="197">
        <f t="shared" si="33"/>
        <v>0.13809397013888891</v>
      </c>
      <c r="Q273" s="197">
        <f t="shared" si="34"/>
        <v>0.17290121740677325</v>
      </c>
    </row>
    <row r="274" spans="1:17" ht="15.95" customHeight="1" x14ac:dyDescent="0.25">
      <c r="A274" s="121"/>
      <c r="B274" s="23"/>
      <c r="C274" s="59" t="s">
        <v>26</v>
      </c>
      <c r="D274" s="66">
        <v>3</v>
      </c>
      <c r="E274" s="36"/>
      <c r="F274" s="480"/>
      <c r="G274" s="484"/>
      <c r="H274" s="51">
        <f>IF(DAY(H273)=DAY($H$262),IF(WEEKDAY(EDATE(H273,$D$274),3)&lt;5,EDATE(H273,$D$274),WORKDAY(EDATE(H273,$D$274),1)),IF(WEEKDAY(EDATE($H$262,$D$274*COUNT($H$262:H273)),3)&lt;5,EDATE($H$262,$D$274*COUNT($H$262:H273)),WORKDAY(EDATE($H$262,$D$274*COUNT($H$262:H273)),1)))</f>
        <v>44452</v>
      </c>
      <c r="I274" s="71" t="s">
        <v>13</v>
      </c>
      <c r="J274" s="52">
        <f>(IF(AND($D$277&lt;&gt;"",$D$277&gt;(AVERAGE(VLOOKUP(WORKDAY.INTL(H274,-7,1,),'Tasas-TC'!A:B,2,FALSE),VLOOKUP(WORKDAY.INTL(H273,-7,1,),'Tasas-TC'!A:B,2,FALSE))+$D$276)),$D$277,IF(AND($D$278&lt;&gt;"",$D$278&lt;(AVERAGE(VLOOKUP(WORKDAY.INTL(H274,-7,1,),'Tasas-TC'!A:B,2,FALSE),VLOOKUP(WORKDAY.INTL(H273,-7,1,),'Tasas-TC'!A:B,2,FALSE))+$D$276)),$D$278,(AVERAGE(VLOOKUP(WORKDAY.INTL(H274,-7,1,),'Tasas-TC'!A:B,2,FALSE),VLOOKUP(WORKDAY.INTL(H273,-7,1,),'Tasas-TC'!A:B,2,FALSE))+$D$276)))/360)*(H274-H273)*L273</f>
        <v>36229.166666666672</v>
      </c>
      <c r="K274" s="52">
        <f t="shared" si="29"/>
        <v>375000</v>
      </c>
      <c r="L274" s="53">
        <f t="shared" si="30"/>
        <v>0</v>
      </c>
      <c r="M274" s="94">
        <f t="shared" si="31"/>
        <v>411229.16666666669</v>
      </c>
      <c r="N274" s="25"/>
      <c r="O274" s="197">
        <f t="shared" si="32"/>
        <v>2393670.7395833358</v>
      </c>
      <c r="P274" s="197">
        <f t="shared" si="33"/>
        <v>0.14243684722222225</v>
      </c>
      <c r="Q274" s="197">
        <f t="shared" si="34"/>
        <v>0.21424062773972605</v>
      </c>
    </row>
    <row r="275" spans="1:17" ht="15.95" customHeight="1" x14ac:dyDescent="0.25">
      <c r="A275" s="121"/>
      <c r="B275" s="23"/>
      <c r="C275" s="59" t="s">
        <v>19</v>
      </c>
      <c r="D275" s="67" t="s">
        <v>20</v>
      </c>
      <c r="E275" s="43"/>
      <c r="F275" s="480"/>
      <c r="G275" s="484"/>
      <c r="H275" s="54"/>
      <c r="I275" s="61"/>
      <c r="J275" s="55"/>
      <c r="K275" s="56"/>
      <c r="L275" s="57"/>
      <c r="M275" s="95"/>
      <c r="N275" s="25"/>
      <c r="O275" s="197">
        <f t="shared" si="32"/>
        <v>6534462.8229166688</v>
      </c>
      <c r="P275" s="197">
        <f t="shared" si="33"/>
        <v>0.13802640277777778</v>
      </c>
      <c r="Q275" s="197">
        <f t="shared" si="34"/>
        <v>0.24315336160578385</v>
      </c>
    </row>
    <row r="276" spans="1:17" ht="15.95" customHeight="1" x14ac:dyDescent="0.25">
      <c r="A276" s="121"/>
      <c r="B276" s="23"/>
      <c r="C276" s="59" t="s">
        <v>14</v>
      </c>
      <c r="D276" s="68">
        <v>7.0000000000000007E-2</v>
      </c>
      <c r="E276" s="43"/>
      <c r="F276" s="480"/>
      <c r="G276" s="484"/>
      <c r="H276" s="24"/>
      <c r="I276" s="24"/>
      <c r="J276" s="24"/>
      <c r="K276" s="24"/>
      <c r="L276" s="24"/>
      <c r="M276" s="24"/>
      <c r="N276" s="25"/>
      <c r="O276" s="197">
        <f t="shared" si="32"/>
        <v>10350787.739583336</v>
      </c>
      <c r="P276" s="197">
        <f t="shared" si="33"/>
        <v>0.12721083055555557</v>
      </c>
      <c r="Q276" s="197">
        <f t="shared" si="34"/>
        <v>0.25477018393455103</v>
      </c>
    </row>
    <row r="277" spans="1:17" ht="15.95" customHeight="1" x14ac:dyDescent="0.25">
      <c r="A277" s="121"/>
      <c r="B277" s="23"/>
      <c r="C277" s="59" t="s">
        <v>31</v>
      </c>
      <c r="D277" s="68">
        <v>0.15</v>
      </c>
      <c r="E277" s="43"/>
      <c r="F277" s="480"/>
      <c r="G277" s="484"/>
      <c r="H277" s="656" t="s">
        <v>43</v>
      </c>
      <c r="I277" s="656"/>
      <c r="J277" s="92">
        <v>0</v>
      </c>
      <c r="K277" s="92"/>
      <c r="L277" s="24"/>
      <c r="M277" s="24"/>
      <c r="N277" s="25"/>
      <c r="O277" s="197">
        <f t="shared" si="32"/>
        <v>13941936.406250004</v>
      </c>
      <c r="P277" s="197">
        <f t="shared" si="33"/>
        <v>0.11970495555555556</v>
      </c>
      <c r="Q277" s="197">
        <f t="shared" si="34"/>
        <v>0.269582119086758</v>
      </c>
    </row>
    <row r="278" spans="1:17" ht="15.95" customHeight="1" x14ac:dyDescent="0.25">
      <c r="A278" s="121"/>
      <c r="B278" s="23"/>
      <c r="C278" s="59" t="s">
        <v>32</v>
      </c>
      <c r="D278" s="68">
        <v>0.37</v>
      </c>
      <c r="E278" s="44"/>
      <c r="F278" s="480"/>
      <c r="G278" s="484"/>
      <c r="H278" s="668"/>
      <c r="I278" s="668"/>
      <c r="J278" s="99"/>
      <c r="K278" s="24"/>
      <c r="L278" s="33"/>
      <c r="M278" s="33"/>
      <c r="N278" s="25"/>
      <c r="O278" s="197">
        <f t="shared" si="32"/>
        <v>17287661.802083336</v>
      </c>
      <c r="P278" s="197">
        <f t="shared" si="33"/>
        <v>0.11152417986111111</v>
      </c>
      <c r="Q278" s="197">
        <f t="shared" si="34"/>
        <v>0.27987985959665146</v>
      </c>
    </row>
    <row r="279" spans="1:17" ht="15.95" customHeight="1" x14ac:dyDescent="0.25">
      <c r="A279" s="121"/>
      <c r="B279" s="23"/>
      <c r="C279" s="59" t="s">
        <v>78</v>
      </c>
      <c r="D279" s="100">
        <v>0.125</v>
      </c>
      <c r="E279" s="24"/>
      <c r="F279" s="480"/>
      <c r="G279" s="484"/>
      <c r="H279" s="24"/>
      <c r="I279" s="24"/>
      <c r="J279" s="24"/>
      <c r="K279" s="24"/>
      <c r="L279" s="24"/>
      <c r="M279" s="24"/>
      <c r="N279" s="25"/>
      <c r="O279" s="197">
        <f t="shared" si="32"/>
        <v>20342956.645833336</v>
      </c>
      <c r="P279" s="197">
        <f t="shared" si="33"/>
        <v>0.10184316145833333</v>
      </c>
      <c r="Q279" s="197">
        <f t="shared" si="34"/>
        <v>0.28097551668093607</v>
      </c>
    </row>
    <row r="280" spans="1:17" ht="15.95" customHeight="1" x14ac:dyDescent="0.25">
      <c r="A280" s="121"/>
      <c r="B280" s="23"/>
      <c r="C280" s="63"/>
      <c r="D280" s="64"/>
      <c r="E280" s="24"/>
      <c r="F280" s="480"/>
      <c r="G280" s="485"/>
      <c r="H280" s="638" t="s">
        <v>44</v>
      </c>
      <c r="I280" s="639"/>
      <c r="J280" s="639"/>
      <c r="K280" s="639"/>
      <c r="L280" s="639"/>
      <c r="M280" s="640"/>
      <c r="N280" s="25"/>
      <c r="O280" s="197">
        <f t="shared" si="32"/>
        <v>23140748.312500004</v>
      </c>
      <c r="P280" s="197">
        <f t="shared" si="33"/>
        <v>9.3259722222222216E-2</v>
      </c>
      <c r="Q280" s="197">
        <f t="shared" si="34"/>
        <v>0.2800346727549467</v>
      </c>
    </row>
    <row r="281" spans="1:17" ht="15.95" customHeight="1" x14ac:dyDescent="0.25">
      <c r="A281" s="121"/>
      <c r="B281" s="23"/>
      <c r="C281" s="24"/>
      <c r="D281" s="24"/>
      <c r="E281" s="24"/>
      <c r="F281" s="480"/>
      <c r="G281" s="485"/>
      <c r="H281" s="23"/>
      <c r="I281" s="24"/>
      <c r="J281" s="24"/>
      <c r="K281" s="24"/>
      <c r="L281" s="24"/>
      <c r="M281" s="25"/>
      <c r="N281" s="25"/>
      <c r="O281" s="195"/>
    </row>
    <row r="282" spans="1:17" ht="15.95" customHeight="1" x14ac:dyDescent="0.25">
      <c r="A282" s="121"/>
      <c r="B282" s="23"/>
      <c r="C282" s="24"/>
      <c r="D282" s="24"/>
      <c r="E282" s="24"/>
      <c r="F282" s="480"/>
      <c r="G282" s="485"/>
      <c r="H282" s="23"/>
      <c r="I282" s="24"/>
      <c r="J282" s="24"/>
      <c r="K282" s="24"/>
      <c r="L282" s="24"/>
      <c r="M282" s="25"/>
      <c r="N282" s="25"/>
      <c r="O282" s="195"/>
    </row>
    <row r="283" spans="1:17" ht="15.95" customHeight="1" x14ac:dyDescent="0.25">
      <c r="A283" s="121"/>
      <c r="B283" s="23"/>
      <c r="C283" s="24"/>
      <c r="D283" s="24"/>
      <c r="E283" s="24"/>
      <c r="F283" s="480"/>
      <c r="G283" s="485"/>
      <c r="H283" s="96"/>
      <c r="I283" s="35"/>
      <c r="J283" s="24"/>
      <c r="K283" s="24"/>
      <c r="L283" s="24"/>
      <c r="M283" s="25"/>
      <c r="N283" s="25"/>
      <c r="O283" s="195"/>
    </row>
    <row r="284" spans="1:17" ht="15.95" customHeight="1" x14ac:dyDescent="0.25">
      <c r="A284" s="121"/>
      <c r="B284" s="23"/>
      <c r="C284" s="24"/>
      <c r="D284" s="24"/>
      <c r="E284" s="24"/>
      <c r="F284" s="480"/>
      <c r="G284" s="485"/>
      <c r="H284" s="23"/>
      <c r="I284" s="24"/>
      <c r="J284" s="24"/>
      <c r="K284" s="24"/>
      <c r="L284" s="24"/>
      <c r="M284" s="25"/>
      <c r="N284" s="25"/>
      <c r="O284" s="195"/>
    </row>
    <row r="285" spans="1:17" ht="15.95" customHeight="1" x14ac:dyDescent="0.25">
      <c r="A285" s="121"/>
      <c r="B285" s="23"/>
      <c r="C285" s="24"/>
      <c r="D285" s="24"/>
      <c r="E285" s="24"/>
      <c r="F285" s="480"/>
      <c r="G285" s="485"/>
      <c r="H285" s="23"/>
      <c r="I285" s="24"/>
      <c r="J285" s="24"/>
      <c r="K285" s="24"/>
      <c r="L285" s="24"/>
      <c r="M285" s="25"/>
      <c r="N285" s="25"/>
      <c r="O285" s="195"/>
    </row>
    <row r="286" spans="1:17" ht="15.95" customHeight="1" x14ac:dyDescent="0.25">
      <c r="A286" s="121"/>
      <c r="B286" s="23"/>
      <c r="C286" s="24"/>
      <c r="D286" s="24"/>
      <c r="E286" s="24"/>
      <c r="F286" s="480"/>
      <c r="G286" s="485"/>
      <c r="H286" s="23"/>
      <c r="I286" s="24"/>
      <c r="J286" s="24"/>
      <c r="K286" s="24"/>
      <c r="L286" s="24"/>
      <c r="M286" s="25"/>
      <c r="N286" s="25"/>
      <c r="O286" s="195"/>
    </row>
    <row r="287" spans="1:17" ht="15.95" customHeight="1" x14ac:dyDescent="0.25">
      <c r="A287" s="121"/>
      <c r="B287" s="23"/>
      <c r="C287" s="24"/>
      <c r="D287" s="24"/>
      <c r="E287" s="24"/>
      <c r="F287" s="480"/>
      <c r="G287" s="485"/>
      <c r="H287" s="23"/>
      <c r="I287" s="24"/>
      <c r="J287" s="24"/>
      <c r="K287" s="24"/>
      <c r="L287" s="24"/>
      <c r="M287" s="25"/>
      <c r="N287" s="25"/>
      <c r="O287" s="195"/>
    </row>
    <row r="288" spans="1:17" ht="15.95" customHeight="1" x14ac:dyDescent="0.25">
      <c r="A288" s="121"/>
      <c r="B288" s="23"/>
      <c r="C288" s="24"/>
      <c r="D288" s="24"/>
      <c r="E288" s="24"/>
      <c r="F288" s="480"/>
      <c r="G288" s="485"/>
      <c r="H288" s="23"/>
      <c r="I288" s="24"/>
      <c r="J288" s="24"/>
      <c r="K288" s="24"/>
      <c r="L288" s="24"/>
      <c r="M288" s="25"/>
      <c r="N288" s="25"/>
      <c r="O288" s="195"/>
    </row>
    <row r="289" spans="1:15" ht="15.95" customHeight="1" x14ac:dyDescent="0.25">
      <c r="A289" s="121"/>
      <c r="B289" s="23"/>
      <c r="C289" s="24"/>
      <c r="D289" s="24"/>
      <c r="E289" s="24"/>
      <c r="F289" s="480"/>
      <c r="G289" s="485"/>
      <c r="H289" s="23"/>
      <c r="I289" s="24"/>
      <c r="J289" s="24"/>
      <c r="K289" s="24"/>
      <c r="L289" s="24"/>
      <c r="M289" s="25"/>
      <c r="N289" s="25"/>
      <c r="O289" s="195"/>
    </row>
    <row r="290" spans="1:15" ht="15.95" customHeight="1" x14ac:dyDescent="0.25">
      <c r="A290" s="121"/>
      <c r="B290" s="23"/>
      <c r="C290" s="24"/>
      <c r="D290" s="24"/>
      <c r="E290" s="24"/>
      <c r="F290" s="480"/>
      <c r="G290" s="485"/>
      <c r="H290" s="23"/>
      <c r="I290" s="24"/>
      <c r="J290" s="24"/>
      <c r="K290" s="24"/>
      <c r="L290" s="24"/>
      <c r="M290" s="25"/>
      <c r="N290" s="25"/>
      <c r="O290" s="195"/>
    </row>
    <row r="291" spans="1:15" ht="15.95" customHeight="1" x14ac:dyDescent="0.25">
      <c r="A291" s="121"/>
      <c r="B291" s="23"/>
      <c r="C291" s="24"/>
      <c r="D291" s="24"/>
      <c r="E291" s="24"/>
      <c r="F291" s="480"/>
      <c r="G291" s="485"/>
      <c r="H291" s="23"/>
      <c r="I291" s="24"/>
      <c r="J291" s="24"/>
      <c r="K291" s="24"/>
      <c r="L291" s="24"/>
      <c r="M291" s="25"/>
      <c r="N291" s="25"/>
      <c r="O291" s="195"/>
    </row>
    <row r="292" spans="1:15" ht="15.95" customHeight="1" x14ac:dyDescent="0.25">
      <c r="A292" s="121"/>
      <c r="B292" s="23"/>
      <c r="C292" s="24"/>
      <c r="D292" s="24"/>
      <c r="E292" s="24"/>
      <c r="F292" s="480"/>
      <c r="G292" s="485"/>
      <c r="H292" s="23"/>
      <c r="I292" s="24"/>
      <c r="J292" s="24"/>
      <c r="K292" s="24"/>
      <c r="L292" s="24"/>
      <c r="M292" s="25"/>
      <c r="N292" s="25"/>
      <c r="O292" s="195"/>
    </row>
    <row r="293" spans="1:15" ht="15.95" customHeight="1" x14ac:dyDescent="0.25">
      <c r="A293" s="121"/>
      <c r="B293" s="23"/>
      <c r="C293" s="24"/>
      <c r="D293" s="24"/>
      <c r="E293" s="24"/>
      <c r="F293" s="480"/>
      <c r="G293" s="485"/>
      <c r="H293" s="26"/>
      <c r="I293" s="27"/>
      <c r="J293" s="27"/>
      <c r="K293" s="27"/>
      <c r="L293" s="27"/>
      <c r="M293" s="28"/>
      <c r="N293" s="25"/>
      <c r="O293" s="195"/>
    </row>
    <row r="294" spans="1:15" ht="15.95" customHeight="1" x14ac:dyDescent="0.25">
      <c r="A294" s="121"/>
      <c r="B294" s="26"/>
      <c r="C294" s="27"/>
      <c r="D294" s="27"/>
      <c r="E294" s="27"/>
      <c r="F294" s="481"/>
      <c r="G294" s="486"/>
      <c r="H294" s="27"/>
      <c r="I294" s="27"/>
      <c r="J294" s="27"/>
      <c r="K294" s="27"/>
      <c r="L294" s="27"/>
      <c r="M294" s="27"/>
      <c r="N294" s="28"/>
      <c r="O294" s="195"/>
    </row>
    <row r="295" spans="1:15" ht="15.95" customHeight="1" x14ac:dyDescent="0.25">
      <c r="A295" s="122" t="s">
        <v>116</v>
      </c>
      <c r="B295" s="661" t="s">
        <v>82</v>
      </c>
      <c r="C295" s="662"/>
      <c r="D295" s="662"/>
      <c r="E295" s="662"/>
      <c r="F295" s="662"/>
      <c r="G295" s="662"/>
      <c r="H295" s="662"/>
      <c r="I295" s="662"/>
      <c r="J295" s="662"/>
      <c r="K295" s="662"/>
      <c r="L295" s="662"/>
      <c r="M295" s="662"/>
      <c r="N295" s="663"/>
      <c r="O295" s="195"/>
    </row>
    <row r="296" spans="1:15" ht="15.95" customHeight="1" x14ac:dyDescent="0.25">
      <c r="A296" s="121"/>
      <c r="B296" s="23"/>
      <c r="C296" s="24"/>
      <c r="D296" s="24"/>
      <c r="E296" s="24"/>
      <c r="F296" s="483"/>
      <c r="G296" s="484"/>
      <c r="H296" s="31"/>
      <c r="I296" s="31"/>
      <c r="J296" s="24"/>
      <c r="K296" s="24"/>
      <c r="L296" s="24"/>
      <c r="M296" s="24"/>
      <c r="N296" s="25"/>
      <c r="O296" s="195"/>
    </row>
    <row r="297" spans="1:15" ht="15.95" customHeight="1" x14ac:dyDescent="0.25">
      <c r="A297" s="121"/>
      <c r="B297" s="23"/>
      <c r="C297" s="638" t="s">
        <v>37</v>
      </c>
      <c r="D297" s="639"/>
      <c r="E297" s="640"/>
      <c r="F297" s="483"/>
      <c r="G297" s="484"/>
      <c r="H297" s="641" t="s">
        <v>28</v>
      </c>
      <c r="I297" s="642"/>
      <c r="J297" s="39">
        <f>+$D$316-SUMIF($H$303:$H$317,"&lt;"&amp;$M$4,$K$303:$K$317)</f>
        <v>0</v>
      </c>
      <c r="K297" s="24"/>
      <c r="L297" s="24"/>
      <c r="M297" s="24"/>
      <c r="N297" s="25"/>
      <c r="O297" s="195"/>
    </row>
    <row r="298" spans="1:15" ht="15.95" customHeight="1" x14ac:dyDescent="0.25">
      <c r="A298" s="121"/>
      <c r="B298" s="23"/>
      <c r="C298" s="58"/>
      <c r="D298" s="664"/>
      <c r="E298" s="665"/>
      <c r="F298" s="483"/>
      <c r="G298" s="484"/>
      <c r="H298" s="645" t="s">
        <v>29</v>
      </c>
      <c r="I298" s="646"/>
      <c r="J298" s="40">
        <f>+$D$315</f>
        <v>44681</v>
      </c>
      <c r="K298" s="24"/>
      <c r="L298" s="24"/>
      <c r="M298" s="24"/>
      <c r="N298" s="25"/>
      <c r="O298" s="195"/>
    </row>
    <row r="299" spans="1:15" ht="15.95" customHeight="1" x14ac:dyDescent="0.25">
      <c r="A299" s="121"/>
      <c r="B299" s="23"/>
      <c r="C299" s="59" t="s">
        <v>25</v>
      </c>
      <c r="D299" s="658"/>
      <c r="E299" s="659"/>
      <c r="F299" s="483"/>
      <c r="G299" s="484"/>
      <c r="H299" s="649" t="s">
        <v>30</v>
      </c>
      <c r="I299" s="650"/>
      <c r="J299" s="42" t="str">
        <f t="array" ref="J299">+IF(H316&gt;=$M$4,MIN(IF($H$304:$H$316&gt;$M$4,$H$304:$H$316,"")),"vencida")</f>
        <v>vencida</v>
      </c>
      <c r="K299" s="24"/>
      <c r="L299" s="24"/>
      <c r="M299" s="24"/>
      <c r="N299" s="25"/>
      <c r="O299" s="195"/>
    </row>
    <row r="300" spans="1:15" ht="20.100000000000001" customHeight="1" x14ac:dyDescent="0.25">
      <c r="A300" s="121"/>
      <c r="B300" s="23"/>
      <c r="C300" s="59" t="s">
        <v>6</v>
      </c>
      <c r="D300" s="658" t="s">
        <v>79</v>
      </c>
      <c r="E300" s="659"/>
      <c r="F300" s="483"/>
      <c r="G300" s="484"/>
      <c r="H300" s="24"/>
      <c r="I300" s="24"/>
      <c r="J300" s="24"/>
      <c r="K300" s="24"/>
      <c r="L300" s="24"/>
      <c r="M300" s="24"/>
      <c r="N300" s="25"/>
      <c r="O300" s="195"/>
    </row>
    <row r="301" spans="1:15" ht="15.95" customHeight="1" x14ac:dyDescent="0.25">
      <c r="A301" s="121"/>
      <c r="B301" s="23"/>
      <c r="C301" s="59" t="s">
        <v>8</v>
      </c>
      <c r="D301" s="658" t="s">
        <v>17</v>
      </c>
      <c r="E301" s="659"/>
      <c r="F301" s="483"/>
      <c r="G301" s="484"/>
      <c r="H301" s="651" t="s">
        <v>41</v>
      </c>
      <c r="I301" s="652"/>
      <c r="J301" s="652"/>
      <c r="K301" s="652"/>
      <c r="L301" s="653"/>
      <c r="M301" s="24"/>
      <c r="N301" s="25"/>
      <c r="O301" s="195"/>
    </row>
    <row r="302" spans="1:15" ht="15.95" customHeight="1" x14ac:dyDescent="0.25">
      <c r="A302" s="121"/>
      <c r="B302" s="23"/>
      <c r="C302" s="59" t="s">
        <v>33</v>
      </c>
      <c r="D302" s="73" t="s">
        <v>303</v>
      </c>
      <c r="E302" s="273">
        <v>0.5</v>
      </c>
      <c r="F302" s="483">
        <f>+E302*J297</f>
        <v>0</v>
      </c>
      <c r="G302" s="484"/>
      <c r="H302" s="81" t="s">
        <v>0</v>
      </c>
      <c r="I302" s="82" t="s">
        <v>2</v>
      </c>
      <c r="J302" s="82" t="s">
        <v>3</v>
      </c>
      <c r="K302" s="82" t="s">
        <v>4</v>
      </c>
      <c r="L302" s="83" t="s">
        <v>5</v>
      </c>
      <c r="M302" s="82" t="s">
        <v>44</v>
      </c>
      <c r="N302" s="25"/>
      <c r="O302" s="194" t="str">
        <f>+D344</f>
        <v>ON Pyme CNV Garantizada</v>
      </c>
    </row>
    <row r="303" spans="1:15" ht="15.95" customHeight="1" x14ac:dyDescent="0.25">
      <c r="A303" s="121"/>
      <c r="B303" s="23"/>
      <c r="C303" s="278" t="s">
        <v>33</v>
      </c>
      <c r="D303" s="73" t="s">
        <v>309</v>
      </c>
      <c r="E303" s="273">
        <v>0.5</v>
      </c>
      <c r="F303" s="483">
        <f>+E303*J297</f>
        <v>0</v>
      </c>
      <c r="G303" s="484"/>
      <c r="H303" s="45"/>
      <c r="I303" s="46"/>
      <c r="J303" s="46"/>
      <c r="K303" s="46"/>
      <c r="L303" s="47"/>
      <c r="M303" s="23"/>
      <c r="N303" s="25"/>
      <c r="O303" s="195"/>
    </row>
    <row r="304" spans="1:15" ht="15.95" customHeight="1" x14ac:dyDescent="0.25">
      <c r="A304" s="121"/>
      <c r="B304" s="23"/>
      <c r="C304" s="59" t="s">
        <v>34</v>
      </c>
      <c r="D304" s="658" t="s">
        <v>48</v>
      </c>
      <c r="E304" s="659"/>
      <c r="F304" s="483"/>
      <c r="G304" s="484"/>
      <c r="H304" s="48">
        <f>+$D$314</f>
        <v>43585</v>
      </c>
      <c r="I304" s="70"/>
      <c r="J304" s="49"/>
      <c r="K304" s="49"/>
      <c r="L304" s="50">
        <f>+D316</f>
        <v>30000000</v>
      </c>
      <c r="M304" s="93">
        <f>-L304</f>
        <v>-30000000</v>
      </c>
      <c r="N304" s="25"/>
      <c r="O304" s="194" t="str">
        <f>+IF(J342="vencida",IF(D344='Reporte - Oscuro'!$C$40,'Reporte - Oscuro'!$C$40&amp;" vencida",IF(D344='Reporte - Oscuro'!$C$41,'Reporte - Oscuro'!$C$41&amp;" vencida",IF(D344='Reporte - Oscuro'!$C$42,'Reporte - Oscuro'!$C$42&amp;" vencida",'Reporte - Oscuro'!$C$43&amp;" vencida"))),D344&amp;" vigente")</f>
        <v>ON Pyme CNV Garantizada vencida</v>
      </c>
    </row>
    <row r="305" spans="1:17" ht="15.95" customHeight="1" x14ac:dyDescent="0.25">
      <c r="A305" s="121"/>
      <c r="B305" s="23"/>
      <c r="C305" s="79" t="s">
        <v>38</v>
      </c>
      <c r="D305" s="75"/>
      <c r="E305" s="76"/>
      <c r="F305" s="483"/>
      <c r="G305" s="484"/>
      <c r="H305" s="51">
        <f>IF(DAY(H304)=DAY($H$304),IF(WEEKDAY(EDATE(H304,$D$317),3)&lt;5,EDATE(H304,$D$317),WORKDAY(EDATE(H304,$D$317),1)),IF(WEEKDAY(EDATE($H$304,$D$317*COUNT($H$304:H304)),3)&lt;5,EDATE($H$304,$D$317*COUNT($H$304:H304)),WORKDAY(EDATE($H$304,$D$317*COUNT($H$304:H304)),1)))</f>
        <v>43676</v>
      </c>
      <c r="I305" s="71" t="s">
        <v>13</v>
      </c>
      <c r="J305" s="52">
        <f>(IF(AND($D$320&lt;&gt;"",$D$320&gt;(AVERAGE(VLOOKUP(WORKDAY.INTL(H305,-7,1,),'Tasas-TC'!A:B,2,FALSE),VLOOKUP(WORKDAY.INTL(H304,-7,1,),'Tasas-TC'!A:B,2,FALSE))+$D$319)),$D$320,IF(AND($D$321&lt;&gt;"",$D$321&lt;(AVERAGE(VLOOKUP(WORKDAY.INTL(H305,-7,1,),'Tasas-TC'!A:B,2,FALSE),VLOOKUP(WORKDAY.INTL(H304,-7,1,),'Tasas-TC'!A:B,2,FALSE))+$D$319)),$D$321,(AVERAGE(VLOOKUP(WORKDAY.INTL(H305,-7,1,),'Tasas-TC'!A:B,2,FALSE),VLOOKUP(WORKDAY.INTL(H304,-7,1,),'Tasas-TC'!A:B,2,FALSE))+$D$319)))/360)*(H305-H304)*L304</f>
        <v>4336718.75</v>
      </c>
      <c r="K305" s="52">
        <f t="shared" ref="K305:K314" si="35">+IF(OR(I305="A + C",I305="A"),$D$316*$D$322,0)</f>
        <v>2502000</v>
      </c>
      <c r="L305" s="53">
        <f t="shared" ref="L305:L316" si="36">+L304-K305</f>
        <v>27498000</v>
      </c>
      <c r="M305" s="94">
        <f t="shared" ref="M305:M316" si="37">+J305+K305</f>
        <v>6838718.75</v>
      </c>
      <c r="N305" s="25"/>
      <c r="O305" s="195"/>
    </row>
    <row r="306" spans="1:17" ht="15.95" customHeight="1" x14ac:dyDescent="0.25">
      <c r="A306" s="121"/>
      <c r="B306" s="23"/>
      <c r="C306" s="59"/>
      <c r="D306" s="73"/>
      <c r="E306" s="74"/>
      <c r="F306" s="483"/>
      <c r="G306" s="484"/>
      <c r="H306" s="51">
        <f>IF(DAY(H305)=DAY($H$304),IF(WEEKDAY(EDATE(H305,$D$317),3)&lt;5,EDATE(H305,$D$317),WORKDAY(EDATE(H305,$D$317),1)),IF(WEEKDAY(EDATE($H$304,$D$317*COUNT($H$304:H305)),3)&lt;5,EDATE($H$304,$D$317*COUNT($H$304:H305)),WORKDAY(EDATE($H$304,$D$317*COUNT($H$304:H305)),1)))</f>
        <v>43768</v>
      </c>
      <c r="I306" s="71" t="s">
        <v>13</v>
      </c>
      <c r="J306" s="52">
        <f>(IF(AND($D$320&lt;&gt;"",$D$320&gt;(AVERAGE(VLOOKUP(WORKDAY.INTL(H306,-7,1,),'Tasas-TC'!A:B,2,FALSE),VLOOKUP(WORKDAY.INTL(H305,-7,1,),'Tasas-TC'!A:B,2,FALSE))+$D$319)),$D$320,IF(AND($D$321&lt;&gt;"",$D$321&lt;(AVERAGE(VLOOKUP(WORKDAY.INTL(H306,-7,1,),'Tasas-TC'!A:B,2,FALSE),VLOOKUP(WORKDAY.INTL(H305,-7,1,),'Tasas-TC'!A:B,2,FALSE))+$D$319)),$D$321,(AVERAGE(VLOOKUP(WORKDAY.INTL(H306,-7,1,),'Tasas-TC'!A:B,2,FALSE),VLOOKUP(WORKDAY.INTL(H305,-7,1,),'Tasas-TC'!A:B,2,FALSE))+$D$319)))/360)*(H306-H305)*L305</f>
        <v>4220752.041666667</v>
      </c>
      <c r="K306" s="52">
        <f t="shared" si="35"/>
        <v>2502000</v>
      </c>
      <c r="L306" s="53">
        <f t="shared" si="36"/>
        <v>24996000</v>
      </c>
      <c r="M306" s="94">
        <f t="shared" si="37"/>
        <v>6722752.041666667</v>
      </c>
      <c r="N306" s="25"/>
      <c r="O306" s="195"/>
    </row>
    <row r="307" spans="1:17" ht="15.95" customHeight="1" x14ac:dyDescent="0.25">
      <c r="A307" s="121"/>
      <c r="B307" s="23"/>
      <c r="C307" s="60"/>
      <c r="D307" s="77"/>
      <c r="E307" s="78"/>
      <c r="F307" s="483"/>
      <c r="G307" s="484"/>
      <c r="H307" s="51">
        <f>IF(DAY(H306)=DAY($H$304),IF(WEEKDAY(EDATE(H306,$D$317),3)&lt;5,EDATE(H306,$D$317),WORKDAY(EDATE(H306,$D$317),1)),IF(WEEKDAY(EDATE($H$304,$D$317*COUNT($H$304:H306)),3)&lt;5,EDATE($H$304,$D$317*COUNT($H$304:H306)),WORKDAY(EDATE($H$304,$D$317*COUNT($H$304:H306)),1)))</f>
        <v>43860</v>
      </c>
      <c r="I307" s="71" t="s">
        <v>13</v>
      </c>
      <c r="J307" s="52">
        <f>(IF(AND($D$320&lt;&gt;"",$D$320&gt;(AVERAGE(VLOOKUP(WORKDAY.INTL(H307,-7,1,),'Tasas-TC'!A:B,2,FALSE),VLOOKUP(WORKDAY.INTL(H306,-7,1,),'Tasas-TC'!A:B,2,FALSE))+$D$319)),$D$320,IF(AND($D$321&lt;&gt;"",$D$321&lt;(AVERAGE(VLOOKUP(WORKDAY.INTL(H307,-7,1,),'Tasas-TC'!A:B,2,FALSE),VLOOKUP(WORKDAY.INTL(H306,-7,1,),'Tasas-TC'!A:B,2,FALSE))+$D$319)),$D$321,(AVERAGE(VLOOKUP(WORKDAY.INTL(H307,-7,1,),'Tasas-TC'!A:B,2,FALSE),VLOOKUP(WORKDAY.INTL(H306,-7,1,),'Tasas-TC'!A:B,2,FALSE))+$D$319)))/360)*(H307-H306)*L306</f>
        <v>3411520.041666667</v>
      </c>
      <c r="K307" s="52">
        <f t="shared" si="35"/>
        <v>2502000</v>
      </c>
      <c r="L307" s="53">
        <f t="shared" si="36"/>
        <v>22494000</v>
      </c>
      <c r="M307" s="94">
        <f t="shared" si="37"/>
        <v>5913520.041666667</v>
      </c>
      <c r="N307" s="25"/>
      <c r="O307" s="195"/>
    </row>
    <row r="308" spans="1:17" ht="15.95" customHeight="1" x14ac:dyDescent="0.25">
      <c r="A308" s="121"/>
      <c r="B308" s="32"/>
      <c r="C308" s="60"/>
      <c r="D308" s="61" t="str">
        <f>+B295</f>
        <v>Bandex I</v>
      </c>
      <c r="E308" s="270"/>
      <c r="F308" s="483"/>
      <c r="G308" s="484">
        <f>+J297</f>
        <v>0</v>
      </c>
      <c r="H308" s="51">
        <f>IF(DAY(H307)=DAY($H$304),IF(WEEKDAY(EDATE(H307,$D$317),3)&lt;5,EDATE(H307,$D$317),WORKDAY(EDATE(H307,$D$317),1)),IF(WEEKDAY(EDATE($H$304,$D$317*COUNT($H$304:H307)),3)&lt;5,EDATE($H$304,$D$317*COUNT($H$304:H307)),WORKDAY(EDATE($H$304,$D$317*COUNT($H$304:H307)),1)))</f>
        <v>43951</v>
      </c>
      <c r="I308" s="71" t="s">
        <v>13</v>
      </c>
      <c r="J308" s="52">
        <f>(IF(AND($D$320&lt;&gt;"",$D$320&gt;(AVERAGE(VLOOKUP(WORKDAY.INTL(H308,-7,1,),'Tasas-TC'!A:B,2,FALSE),VLOOKUP(WORKDAY.INTL(H307,-7,1,),'Tasas-TC'!A:B,2,FALSE))+$D$319)),$D$320,IF(AND($D$321&lt;&gt;"",$D$321&lt;(AVERAGE(VLOOKUP(WORKDAY.INTL(H308,-7,1,),'Tasas-TC'!A:B,2,FALSE),VLOOKUP(WORKDAY.INTL(H307,-7,1,),'Tasas-TC'!A:B,2,FALSE))+$D$319)),$D$321,(AVERAGE(VLOOKUP(WORKDAY.INTL(H308,-7,1,),'Tasas-TC'!A:B,2,FALSE),VLOOKUP(WORKDAY.INTL(H307,-7,1,),'Tasas-TC'!A:B,2,FALSE))+$D$319)))/360)*(H308-H307)*L307</f>
        <v>2000755.3854166665</v>
      </c>
      <c r="K308" s="52">
        <f t="shared" si="35"/>
        <v>2502000</v>
      </c>
      <c r="L308" s="53">
        <f t="shared" si="36"/>
        <v>19992000</v>
      </c>
      <c r="M308" s="94">
        <f t="shared" si="37"/>
        <v>4502755.385416666</v>
      </c>
      <c r="N308" s="25"/>
      <c r="O308" s="195"/>
    </row>
    <row r="309" spans="1:17" ht="15.95" customHeight="1" x14ac:dyDescent="0.25">
      <c r="A309" s="121"/>
      <c r="B309" s="23"/>
      <c r="D309" s="271"/>
      <c r="E309" s="272"/>
      <c r="F309" s="483"/>
      <c r="G309" s="484"/>
      <c r="H309" s="51">
        <f>IF(DAY(H308)=DAY($H$304),IF(WEEKDAY(EDATE(H308,$D$317),3)&lt;5,EDATE(H308,$D$317),WORKDAY(EDATE(H308,$D$317),1)),IF(WEEKDAY(EDATE($H$304,$D$317*COUNT($H$304:H308)),3)&lt;5,EDATE($H$304,$D$317*COUNT($H$304:H308)),WORKDAY(EDATE($H$304,$D$317*COUNT($H$304:H308)),1)))</f>
        <v>44042</v>
      </c>
      <c r="I309" s="71" t="s">
        <v>13</v>
      </c>
      <c r="J309" s="52">
        <f>(IF(AND($D$320&lt;&gt;"",$D$320&gt;(AVERAGE(VLOOKUP(WORKDAY.INTL(H309,-7,1,),'Tasas-TC'!A:B,2,FALSE),VLOOKUP(WORKDAY.INTL(H308,-7,1,),'Tasas-TC'!A:B,2,FALSE))+$D$319)),$D$320,IF(AND($D$321&lt;&gt;"",$D$321&lt;(AVERAGE(VLOOKUP(WORKDAY.INTL(H309,-7,1,),'Tasas-TC'!A:B,2,FALSE),VLOOKUP(WORKDAY.INTL(H308,-7,1,),'Tasas-TC'!A:B,2,FALSE))+$D$319)),$D$321,(AVERAGE(VLOOKUP(WORKDAY.INTL(H309,-7,1,),'Tasas-TC'!A:B,2,FALSE),VLOOKUP(WORKDAY.INTL(H308,-7,1,),'Tasas-TC'!A:B,2,FALSE))+$D$319)))/360)*(H309-H308)*L308</f>
        <v>1640819.1041666667</v>
      </c>
      <c r="K309" s="52">
        <f t="shared" si="35"/>
        <v>2502000</v>
      </c>
      <c r="L309" s="53">
        <f t="shared" si="36"/>
        <v>17490000</v>
      </c>
      <c r="M309" s="94">
        <f t="shared" si="37"/>
        <v>4142819.104166667</v>
      </c>
      <c r="N309" s="25"/>
      <c r="O309" s="197">
        <f>+M347</f>
        <v>-15000000</v>
      </c>
      <c r="P309" s="197">
        <f>-M347</f>
        <v>15000000</v>
      </c>
      <c r="Q309" s="197"/>
    </row>
    <row r="310" spans="1:17" ht="15.95" customHeight="1" x14ac:dyDescent="0.25">
      <c r="A310" s="121"/>
      <c r="B310" s="23"/>
      <c r="C310" s="638" t="s">
        <v>36</v>
      </c>
      <c r="D310" s="640"/>
      <c r="E310" s="36"/>
      <c r="F310" s="483"/>
      <c r="G310" s="484"/>
      <c r="H310" s="51">
        <f>IF(DAY(H309)=DAY($H$304),IF(WEEKDAY(EDATE(H309,$D$317),3)&lt;5,EDATE(H309,$D$317),WORKDAY(EDATE(H309,$D$317),1)),IF(WEEKDAY(EDATE($H$304,$D$317*COUNT($H$304:H309)),3)&lt;5,EDATE($H$304,$D$317*COUNT($H$304:H309)),WORKDAY(EDATE($H$304,$D$317*COUNT($H$304:H309)),1)))</f>
        <v>44134</v>
      </c>
      <c r="I310" s="71" t="s">
        <v>13</v>
      </c>
      <c r="J310" s="52">
        <f>(IF(AND($D$320&lt;&gt;"",$D$320&gt;(AVERAGE(VLOOKUP(WORKDAY.INTL(H310,-7,1,),'Tasas-TC'!A:B,2,FALSE),VLOOKUP(WORKDAY.INTL(H309,-7,1,),'Tasas-TC'!A:B,2,FALSE))+$D$319)),$D$320,IF(AND($D$321&lt;&gt;"",$D$321&lt;(AVERAGE(VLOOKUP(WORKDAY.INTL(H310,-7,1,),'Tasas-TC'!A:B,2,FALSE),VLOOKUP(WORKDAY.INTL(H309,-7,1,),'Tasas-TC'!A:B,2,FALSE))+$D$319)),$D$321,(AVERAGE(VLOOKUP(WORKDAY.INTL(H310,-7,1,),'Tasas-TC'!A:B,2,FALSE),VLOOKUP(WORKDAY.INTL(H309,-7,1,),'Tasas-TC'!A:B,2,FALSE))+$D$319)))/360)*(H310-H309)*L309</f>
        <v>1771105.4166666667</v>
      </c>
      <c r="K310" s="52">
        <f t="shared" si="35"/>
        <v>2502000</v>
      </c>
      <c r="L310" s="53">
        <f t="shared" si="36"/>
        <v>14988000</v>
      </c>
      <c r="M310" s="94">
        <f t="shared" si="37"/>
        <v>4273105.416666667</v>
      </c>
      <c r="N310" s="25"/>
      <c r="O310" s="197">
        <f t="shared" ref="O310:O321" si="38">+M348+O309</f>
        <v>-11816263.020833332</v>
      </c>
      <c r="P310" s="197">
        <f t="shared" ref="P310:P321" si="39">+(M348/(1+$J$363)^((H348-$H$347)/365))/$P$309</f>
        <v>0.21224913194444447</v>
      </c>
      <c r="Q310" s="197">
        <f t="shared" ref="Q310:Q321" si="40">+P310*((H348-$H$347)/365)</f>
        <v>5.1753897926179612E-2</v>
      </c>
    </row>
    <row r="311" spans="1:17" ht="15.95" customHeight="1" x14ac:dyDescent="0.25">
      <c r="A311" s="121"/>
      <c r="B311" s="23"/>
      <c r="C311" s="59"/>
      <c r="D311" s="62"/>
      <c r="E311" s="36"/>
      <c r="F311" s="483"/>
      <c r="G311" s="484"/>
      <c r="H311" s="51">
        <f>IF(DAY(H310)=DAY($H$304),IF(WEEKDAY(EDATE(H310,$D$317),3)&lt;5,EDATE(H310,$D$317),WORKDAY(EDATE(H310,$D$317),1)),IF(WEEKDAY(EDATE($H$304,$D$317*COUNT($H$304:H310)),3)&lt;5,EDATE($H$304,$D$317*COUNT($H$304:H310)),WORKDAY(EDATE($H$304,$D$317*COUNT($H$304:H310)),1)))</f>
        <v>44228</v>
      </c>
      <c r="I311" s="71" t="s">
        <v>13</v>
      </c>
      <c r="J311" s="52">
        <f>(IF(AND($D$320&lt;&gt;"",$D$320&gt;(AVERAGE(VLOOKUP(WORKDAY.INTL(H311,-7,1,),'Tasas-TC'!A:B,2,FALSE),VLOOKUP(WORKDAY.INTL(H310,-7,1,),'Tasas-TC'!A:B,2,FALSE))+$D$319)),$D$320,IF(AND($D$321&lt;&gt;"",$D$321&lt;(AVERAGE(VLOOKUP(WORKDAY.INTL(H311,-7,1,),'Tasas-TC'!A:B,2,FALSE),VLOOKUP(WORKDAY.INTL(H310,-7,1,),'Tasas-TC'!A:B,2,FALSE))+$D$319)),$D$321,(AVERAGE(VLOOKUP(WORKDAY.INTL(H311,-7,1,),'Tasas-TC'!A:B,2,FALSE),VLOOKUP(WORKDAY.INTL(H310,-7,1,),'Tasas-TC'!A:B,2,FALSE))+$D$319)))/360)*(H311-H310)*L310</f>
        <v>1638792.0833333333</v>
      </c>
      <c r="K311" s="52">
        <f t="shared" si="35"/>
        <v>2502000</v>
      </c>
      <c r="L311" s="53">
        <f t="shared" si="36"/>
        <v>12486000</v>
      </c>
      <c r="M311" s="94">
        <f t="shared" si="37"/>
        <v>4140792.083333333</v>
      </c>
      <c r="N311" s="25"/>
      <c r="O311" s="197">
        <f t="shared" si="38"/>
        <v>-8354089.6437499989</v>
      </c>
      <c r="P311" s="197">
        <f t="shared" si="39"/>
        <v>0.23081155847222221</v>
      </c>
      <c r="Q311" s="197">
        <f t="shared" si="40"/>
        <v>0.1144572385848554</v>
      </c>
    </row>
    <row r="312" spans="1:17" ht="15.95" customHeight="1" x14ac:dyDescent="0.25">
      <c r="A312" s="121"/>
      <c r="B312" s="23"/>
      <c r="C312" s="59" t="s">
        <v>9</v>
      </c>
      <c r="D312" s="98" t="s">
        <v>18</v>
      </c>
      <c r="E312" s="36"/>
      <c r="F312" s="483"/>
      <c r="G312" s="484"/>
      <c r="H312" s="51">
        <f>IF(DAY(H311)=DAY($H$304),IF(WEEKDAY(EDATE(H311,$D$317),3)&lt;5,EDATE(H311,$D$317),WORKDAY(EDATE(H311,$D$317),1)),IF(WEEKDAY(EDATE($H$304,$D$317*COUNT($H$304:H311)),3)&lt;5,EDATE($H$304,$D$317*COUNT($H$304:H311)),WORKDAY(EDATE($H$304,$D$317*COUNT($H$304:H311)),1)))</f>
        <v>44316</v>
      </c>
      <c r="I312" s="71" t="s">
        <v>13</v>
      </c>
      <c r="J312" s="52">
        <f>(IF(AND($D$320&lt;&gt;"",$D$320&gt;(AVERAGE(VLOOKUP(WORKDAY.INTL(H312,-7,1,),'Tasas-TC'!A:B,2,FALSE),VLOOKUP(WORKDAY.INTL(H311,-7,1,),'Tasas-TC'!A:B,2,FALSE))+$D$319)),$D$320,IF(AND($D$321&lt;&gt;"",$D$321&lt;(AVERAGE(VLOOKUP(WORKDAY.INTL(H312,-7,1,),'Tasas-TC'!A:B,2,FALSE),VLOOKUP(WORKDAY.INTL(H311,-7,1,),'Tasas-TC'!A:B,2,FALSE))+$D$319)),$D$321,(AVERAGE(VLOOKUP(WORKDAY.INTL(H312,-7,1,),'Tasas-TC'!A:B,2,FALSE),VLOOKUP(WORKDAY.INTL(H311,-7,1,),'Tasas-TC'!A:B,2,FALSE))+$D$319)))/360)*(H312-H311)*L311</f>
        <v>1314324.9166666667</v>
      </c>
      <c r="K312" s="52">
        <f t="shared" si="35"/>
        <v>2502000</v>
      </c>
      <c r="L312" s="53">
        <f t="shared" si="36"/>
        <v>9984000</v>
      </c>
      <c r="M312" s="94">
        <f t="shared" si="37"/>
        <v>3816324.916666667</v>
      </c>
      <c r="N312" s="25"/>
      <c r="O312" s="197">
        <f t="shared" si="38"/>
        <v>-5193915.9937499985</v>
      </c>
      <c r="P312" s="197">
        <f t="shared" si="39"/>
        <v>0.21067824333333332</v>
      </c>
      <c r="Q312" s="197">
        <f t="shared" si="40"/>
        <v>0.157575782</v>
      </c>
    </row>
    <row r="313" spans="1:17" ht="15.95" customHeight="1" x14ac:dyDescent="0.25">
      <c r="A313" s="121"/>
      <c r="B313" s="23"/>
      <c r="C313" s="59" t="s">
        <v>10</v>
      </c>
      <c r="D313" s="65">
        <v>43580</v>
      </c>
      <c r="E313" s="36"/>
      <c r="F313" s="483"/>
      <c r="G313" s="484"/>
      <c r="H313" s="51">
        <f>IF(DAY(H312)=DAY($H$304),IF(WEEKDAY(EDATE(H312,$D$317),3)&lt;5,EDATE(H312,$D$317),WORKDAY(EDATE(H312,$D$317),1)),IF(WEEKDAY(EDATE($H$304,$D$317*COUNT($H$304:H312)),3)&lt;5,EDATE($H$304,$D$317*COUNT($H$304:H312)),WORKDAY(EDATE($H$304,$D$317*COUNT($H$304:H312)),1)))</f>
        <v>44407</v>
      </c>
      <c r="I313" s="71" t="s">
        <v>13</v>
      </c>
      <c r="J313" s="52">
        <f>(IF(AND($D$320&lt;&gt;"",$D$320&gt;(AVERAGE(VLOOKUP(WORKDAY.INTL(H313,-7,1,),'Tasas-TC'!A:B,2,FALSE),VLOOKUP(WORKDAY.INTL(H312,-7,1,),'Tasas-TC'!A:B,2,FALSE))+$D$319)),$D$320,IF(AND($D$321&lt;&gt;"",$D$321&lt;(AVERAGE(VLOOKUP(WORKDAY.INTL(H313,-7,1,),'Tasas-TC'!A:B,2,FALSE),VLOOKUP(WORKDAY.INTL(H312,-7,1,),'Tasas-TC'!A:B,2,FALSE))+$D$319)),$D$321,(AVERAGE(VLOOKUP(WORKDAY.INTL(H313,-7,1,),'Tasas-TC'!A:B,2,FALSE),VLOOKUP(WORKDAY.INTL(H312,-7,1,),'Tasas-TC'!A:B,2,FALSE))+$D$319)))/360)*(H313-H312)*L312</f>
        <v>1089148.6666666667</v>
      </c>
      <c r="K313" s="52">
        <f t="shared" si="35"/>
        <v>2502000</v>
      </c>
      <c r="L313" s="53">
        <f t="shared" si="36"/>
        <v>7482000</v>
      </c>
      <c r="M313" s="94">
        <f t="shared" si="37"/>
        <v>3591148.666666667</v>
      </c>
      <c r="N313" s="25"/>
      <c r="O313" s="197">
        <f t="shared" si="38"/>
        <v>-2514203.3354166653</v>
      </c>
      <c r="P313" s="197">
        <f t="shared" si="39"/>
        <v>0.17864751055555556</v>
      </c>
      <c r="Q313" s="197">
        <f t="shared" si="40"/>
        <v>0.17962640102435312</v>
      </c>
    </row>
    <row r="314" spans="1:17" ht="15.95" customHeight="1" x14ac:dyDescent="0.25">
      <c r="A314" s="121"/>
      <c r="B314" s="23"/>
      <c r="C314" s="59" t="s">
        <v>11</v>
      </c>
      <c r="D314" s="65">
        <v>43585</v>
      </c>
      <c r="E314" s="36"/>
      <c r="F314" s="483"/>
      <c r="G314" s="484"/>
      <c r="H314" s="51">
        <f>IF(DAY(H313)=DAY($H$304),IF(WEEKDAY(EDATE(H313,$D$317),3)&lt;5,EDATE(H313,$D$317),WORKDAY(EDATE(H313,$D$317),1)),IF(WEEKDAY(EDATE($H$304,$D$317*COUNT($H$304:H313)),3)&lt;5,EDATE($H$304,$D$317*COUNT($H$304:H313)),WORKDAY(EDATE($H$304,$D$317*COUNT($H$304:H313)),1)))</f>
        <v>44501</v>
      </c>
      <c r="I314" s="71" t="s">
        <v>13</v>
      </c>
      <c r="J314" s="52">
        <f>(IF(AND($D$320&lt;&gt;"",$D$320&gt;(AVERAGE(VLOOKUP(WORKDAY.INTL(H314,-7,1,),'Tasas-TC'!A:B,2,FALSE),VLOOKUP(WORKDAY.INTL(H313,-7,1,),'Tasas-TC'!A:B,2,FALSE))+$D$319)),$D$320,IF(AND($D$321&lt;&gt;"",$D$321&lt;(AVERAGE(VLOOKUP(WORKDAY.INTL(H314,-7,1,),'Tasas-TC'!A:B,2,FALSE),VLOOKUP(WORKDAY.INTL(H313,-7,1,),'Tasas-TC'!A:B,2,FALSE))+$D$319)),$D$321,(AVERAGE(VLOOKUP(WORKDAY.INTL(H314,-7,1,),'Tasas-TC'!A:B,2,FALSE),VLOOKUP(WORKDAY.INTL(H313,-7,1,),'Tasas-TC'!A:B,2,FALSE))+$D$319)))/360)*(H314-H313)*L313</f>
        <v>843725.39583333337</v>
      </c>
      <c r="K314" s="52">
        <f t="shared" si="35"/>
        <v>2502000</v>
      </c>
      <c r="L314" s="53">
        <f t="shared" si="36"/>
        <v>4980000</v>
      </c>
      <c r="M314" s="94">
        <f t="shared" si="37"/>
        <v>3345725.3958333335</v>
      </c>
      <c r="N314" s="25"/>
      <c r="O314" s="197">
        <f t="shared" si="38"/>
        <v>-373017.88541666511</v>
      </c>
      <c r="P314" s="197">
        <f t="shared" si="39"/>
        <v>0.14274569666666667</v>
      </c>
      <c r="Q314" s="197">
        <f t="shared" si="40"/>
        <v>0.17794326570776259</v>
      </c>
    </row>
    <row r="315" spans="1:17" ht="15.95" customHeight="1" x14ac:dyDescent="0.25">
      <c r="A315" s="121"/>
      <c r="B315" s="23"/>
      <c r="C315" s="59" t="s">
        <v>12</v>
      </c>
      <c r="D315" s="65">
        <v>44681</v>
      </c>
      <c r="E315" s="36"/>
      <c r="F315" s="480"/>
      <c r="G315" s="484"/>
      <c r="H315" s="51">
        <f>IF(DAY(H314)=DAY($H$304),IF(WEEKDAY(EDATE(H314,$D$317),3)&lt;5,EDATE(H314,$D$317),WORKDAY(EDATE(H314,$D$317),1)),IF(WEEKDAY(EDATE($H$304,$D$317*COUNT($H$304:H314)),3)&lt;5,EDATE($H$304,$D$317*COUNT($H$304:H314)),WORKDAY(EDATE($H$304,$D$317*COUNT($H$304:H314)),1)))</f>
        <v>44592</v>
      </c>
      <c r="I315" s="71" t="s">
        <v>13</v>
      </c>
      <c r="J315" s="52">
        <f>(IF(AND($D$320&lt;&gt;"",$D$320&gt;(AVERAGE(VLOOKUP(WORKDAY.INTL(H315,-7,1,),'Tasas-TC'!A:B,2,FALSE),VLOOKUP(WORKDAY.INTL(H314,-7,1,),'Tasas-TC'!A:B,2,FALSE))+$D$319)),$D$320,IF(AND($D$321&lt;&gt;"",$D$321&lt;(AVERAGE(VLOOKUP(WORKDAY.INTL(H315,-7,1,),'Tasas-TC'!A:B,2,FALSE),VLOOKUP(WORKDAY.INTL(H314,-7,1,),'Tasas-TC'!A:B,2,FALSE))+$D$319)),$D$321,(AVERAGE(VLOOKUP(WORKDAY.INTL(H315,-7,1,),'Tasas-TC'!A:B,2,FALSE),VLOOKUP(WORKDAY.INTL(H314,-7,1,),'Tasas-TC'!A:B,2,FALSE))+$D$319)))/360)*(H315-H314)*L314</f>
        <v>565294.84375</v>
      </c>
      <c r="K315" s="52">
        <f>+IF(OR(I315="A + C",I315="A"),$D$316*$D$323,0)</f>
        <v>2490000</v>
      </c>
      <c r="L315" s="53">
        <f t="shared" si="36"/>
        <v>2490000</v>
      </c>
      <c r="M315" s="94">
        <f t="shared" si="37"/>
        <v>3055294.84375</v>
      </c>
      <c r="N315" s="25"/>
      <c r="O315" s="197">
        <f t="shared" si="38"/>
        <v>1642070.4166666684</v>
      </c>
      <c r="P315" s="197">
        <f t="shared" si="39"/>
        <v>0.13433922013888891</v>
      </c>
      <c r="Q315" s="197">
        <f t="shared" si="40"/>
        <v>0.2020609091952055</v>
      </c>
    </row>
    <row r="316" spans="1:17" ht="15.95" customHeight="1" x14ac:dyDescent="0.25">
      <c r="A316" s="121"/>
      <c r="B316" s="23"/>
      <c r="C316" s="59" t="s">
        <v>27</v>
      </c>
      <c r="D316" s="66">
        <v>30000000</v>
      </c>
      <c r="E316" s="41"/>
      <c r="F316" s="480"/>
      <c r="G316" s="484"/>
      <c r="H316" s="51">
        <v>44681</v>
      </c>
      <c r="I316" s="71" t="s">
        <v>13</v>
      </c>
      <c r="J316" s="52">
        <f>(IF(AND($D$320&lt;&gt;"",$D$320&gt;(AVERAGE(VLOOKUP(WORKDAY.INTL(H316,-7,1,),'Tasas-TC'!A:B,2,FALSE),VLOOKUP(WORKDAY.INTL(H315,-7,1,),'Tasas-TC'!A:B,2,FALSE))+$D$319)),$D$320,IF(AND($D$321&lt;&gt;"",$D$321&lt;(AVERAGE(VLOOKUP(WORKDAY.INTL(H316,-7,1,),'Tasas-TC'!A:B,2,FALSE),VLOOKUP(WORKDAY.INTL(H315,-7,1,),'Tasas-TC'!A:B,2,FALSE))+$D$319)),$D$321,(AVERAGE(VLOOKUP(WORKDAY.INTL(H316,-7,1,),'Tasas-TC'!A:B,2,FALSE),VLOOKUP(WORKDAY.INTL(H315,-7,1,),'Tasas-TC'!A:B,2,FALSE))+$D$319)))/360)*(H316-H315)*L315</f>
        <v>307791.66666666669</v>
      </c>
      <c r="K316" s="52">
        <f>+IF(OR(I316="A + C",I316="A"),$D$316*$D$323,0)</f>
        <v>2490000</v>
      </c>
      <c r="L316" s="53">
        <f t="shared" si="36"/>
        <v>0</v>
      </c>
      <c r="M316" s="94">
        <f t="shared" si="37"/>
        <v>2797791.6666666665</v>
      </c>
      <c r="N316" s="25"/>
      <c r="O316" s="197">
        <f t="shared" si="38"/>
        <v>3620488.0166666685</v>
      </c>
      <c r="P316" s="197">
        <f t="shared" si="39"/>
        <v>0.13189450666666666</v>
      </c>
      <c r="Q316" s="197">
        <f t="shared" si="40"/>
        <v>0.23126708018264838</v>
      </c>
    </row>
    <row r="317" spans="1:17" ht="15.95" customHeight="1" x14ac:dyDescent="0.25">
      <c r="A317" s="121"/>
      <c r="B317" s="23"/>
      <c r="C317" s="59" t="s">
        <v>26</v>
      </c>
      <c r="D317" s="66">
        <v>3</v>
      </c>
      <c r="E317" s="36"/>
      <c r="F317" s="480"/>
      <c r="G317" s="484"/>
      <c r="H317" s="54"/>
      <c r="I317" s="61"/>
      <c r="J317" s="55"/>
      <c r="K317" s="56"/>
      <c r="L317" s="57"/>
      <c r="M317" s="95"/>
      <c r="N317" s="25"/>
      <c r="O317" s="197">
        <f t="shared" si="38"/>
        <v>5515448.0473958347</v>
      </c>
      <c r="P317" s="197">
        <f t="shared" si="39"/>
        <v>0.12633066871527779</v>
      </c>
      <c r="Q317" s="197">
        <f t="shared" si="40"/>
        <v>0.25300744885169335</v>
      </c>
    </row>
    <row r="318" spans="1:17" ht="15.95" customHeight="1" x14ac:dyDescent="0.25">
      <c r="A318" s="121"/>
      <c r="B318" s="23"/>
      <c r="C318" s="59" t="s">
        <v>19</v>
      </c>
      <c r="D318" s="67" t="s">
        <v>20</v>
      </c>
      <c r="E318" s="43"/>
      <c r="F318" s="480"/>
      <c r="G318" s="484"/>
      <c r="H318" s="24"/>
      <c r="I318" s="24"/>
      <c r="J318" s="24"/>
      <c r="K318" s="24"/>
      <c r="L318" s="24"/>
      <c r="M318" s="24"/>
      <c r="N318" s="25"/>
      <c r="O318" s="197">
        <f t="shared" si="38"/>
        <v>7297141.8473958345</v>
      </c>
      <c r="P318" s="197">
        <f t="shared" si="39"/>
        <v>0.11877958666666666</v>
      </c>
      <c r="Q318" s="197">
        <f t="shared" si="40"/>
        <v>0.26749813764383557</v>
      </c>
    </row>
    <row r="319" spans="1:17" ht="15.95" customHeight="1" x14ac:dyDescent="0.25">
      <c r="A319" s="121"/>
      <c r="B319" s="23"/>
      <c r="C319" s="59" t="s">
        <v>14</v>
      </c>
      <c r="D319" s="68">
        <v>0.09</v>
      </c>
      <c r="E319" s="43"/>
      <c r="F319" s="480"/>
      <c r="G319" s="484"/>
      <c r="H319" s="656" t="s">
        <v>43</v>
      </c>
      <c r="I319" s="656"/>
      <c r="J319" s="92">
        <v>0</v>
      </c>
      <c r="K319" s="92"/>
      <c r="L319" s="24"/>
      <c r="M319" s="24"/>
      <c r="N319" s="25"/>
      <c r="O319" s="197">
        <f t="shared" si="38"/>
        <v>8946138.7838541679</v>
      </c>
      <c r="P319" s="197">
        <f t="shared" si="39"/>
        <v>0.10993312909722222</v>
      </c>
      <c r="Q319" s="197">
        <f t="shared" si="40"/>
        <v>0.27498341607058602</v>
      </c>
    </row>
    <row r="320" spans="1:17" ht="15.95" customHeight="1" x14ac:dyDescent="0.25">
      <c r="A320" s="121"/>
      <c r="B320" s="23"/>
      <c r="C320" s="59" t="s">
        <v>31</v>
      </c>
      <c r="D320" s="68"/>
      <c r="E320" s="43"/>
      <c r="F320" s="480"/>
      <c r="G320" s="484"/>
      <c r="H320" s="657"/>
      <c r="I320" s="657"/>
      <c r="J320" s="392"/>
      <c r="K320" s="24"/>
      <c r="L320" s="33"/>
      <c r="M320" s="33"/>
      <c r="N320" s="25"/>
      <c r="O320" s="197">
        <f t="shared" si="38"/>
        <v>10455454.445312502</v>
      </c>
      <c r="P320" s="197">
        <f t="shared" si="39"/>
        <v>0.10062104409722222</v>
      </c>
      <c r="Q320" s="197">
        <f t="shared" si="40"/>
        <v>0.27677678979071535</v>
      </c>
    </row>
    <row r="321" spans="1:17" ht="15.95" customHeight="1" x14ac:dyDescent="0.25">
      <c r="A321" s="121"/>
      <c r="B321" s="23"/>
      <c r="C321" s="59" t="s">
        <v>32</v>
      </c>
      <c r="D321" s="68"/>
      <c r="E321" s="44"/>
      <c r="F321" s="480"/>
      <c r="G321" s="484"/>
      <c r="H321" s="24"/>
      <c r="I321" s="24"/>
      <c r="J321" s="24"/>
      <c r="K321" s="24"/>
      <c r="L321" s="24"/>
      <c r="M321" s="24"/>
      <c r="N321" s="25"/>
      <c r="O321" s="197">
        <f t="shared" si="38"/>
        <v>11839433.622395836</v>
      </c>
      <c r="P321" s="197">
        <f t="shared" si="39"/>
        <v>9.2265278472222212E-2</v>
      </c>
      <c r="Q321" s="197">
        <f t="shared" si="40"/>
        <v>0.27704861700152206</v>
      </c>
    </row>
    <row r="322" spans="1:17" ht="15.95" customHeight="1" x14ac:dyDescent="0.25">
      <c r="A322" s="121"/>
      <c r="B322" s="23"/>
      <c r="C322" s="59" t="s">
        <v>80</v>
      </c>
      <c r="D322" s="68">
        <v>8.3400000000000002E-2</v>
      </c>
      <c r="E322" s="24"/>
      <c r="F322" s="480"/>
      <c r="G322" s="485"/>
      <c r="H322" s="638" t="s">
        <v>44</v>
      </c>
      <c r="I322" s="639"/>
      <c r="J322" s="639"/>
      <c r="K322" s="639"/>
      <c r="L322" s="639"/>
      <c r="M322" s="640"/>
      <c r="N322" s="25"/>
      <c r="O322" s="195"/>
    </row>
    <row r="323" spans="1:17" ht="15.95" customHeight="1" x14ac:dyDescent="0.25">
      <c r="A323" s="121"/>
      <c r="B323" s="23"/>
      <c r="C323" s="59" t="s">
        <v>81</v>
      </c>
      <c r="D323" s="68">
        <v>8.3000000000000004E-2</v>
      </c>
      <c r="E323" s="24"/>
      <c r="F323" s="480"/>
      <c r="G323" s="485"/>
      <c r="H323" s="23"/>
      <c r="I323" s="24"/>
      <c r="J323" s="24"/>
      <c r="K323" s="24"/>
      <c r="L323" s="24"/>
      <c r="M323" s="25"/>
      <c r="N323" s="25"/>
      <c r="O323" s="195"/>
    </row>
    <row r="324" spans="1:17" ht="15.95" customHeight="1" x14ac:dyDescent="0.25">
      <c r="A324" s="121"/>
      <c r="B324" s="23"/>
      <c r="C324" s="60"/>
      <c r="D324" s="119"/>
      <c r="E324" s="24"/>
      <c r="F324" s="480"/>
      <c r="G324" s="485"/>
      <c r="H324" s="23"/>
      <c r="I324" s="24"/>
      <c r="J324" s="24"/>
      <c r="K324" s="24"/>
      <c r="L324" s="24"/>
      <c r="M324" s="25"/>
      <c r="N324" s="25"/>
      <c r="O324" s="195"/>
    </row>
    <row r="325" spans="1:17" ht="15.95" customHeight="1" x14ac:dyDescent="0.25">
      <c r="A325" s="121"/>
      <c r="B325" s="23"/>
      <c r="C325" s="24"/>
      <c r="D325" s="24"/>
      <c r="E325" s="24"/>
      <c r="F325" s="480"/>
      <c r="G325" s="485"/>
      <c r="H325" s="96"/>
      <c r="I325" s="35"/>
      <c r="J325" s="24"/>
      <c r="K325" s="24"/>
      <c r="L325" s="24"/>
      <c r="M325" s="25"/>
      <c r="N325" s="25"/>
      <c r="O325" s="195"/>
    </row>
    <row r="326" spans="1:17" ht="15.95" customHeight="1" x14ac:dyDescent="0.25">
      <c r="A326" s="121"/>
      <c r="B326" s="23"/>
      <c r="C326" s="24"/>
      <c r="D326" s="24"/>
      <c r="E326" s="24"/>
      <c r="F326" s="480"/>
      <c r="G326" s="485"/>
      <c r="H326" s="23"/>
      <c r="I326" s="24"/>
      <c r="J326" s="24"/>
      <c r="K326" s="24"/>
      <c r="L326" s="24"/>
      <c r="M326" s="25"/>
      <c r="N326" s="25"/>
      <c r="O326" s="195"/>
    </row>
    <row r="327" spans="1:17" ht="15.95" customHeight="1" x14ac:dyDescent="0.25">
      <c r="A327" s="121"/>
      <c r="B327" s="23"/>
      <c r="C327" s="24"/>
      <c r="D327" s="24"/>
      <c r="E327" s="24"/>
      <c r="F327" s="480"/>
      <c r="G327" s="485"/>
      <c r="H327" s="23"/>
      <c r="I327" s="24"/>
      <c r="J327" s="24"/>
      <c r="K327" s="24"/>
      <c r="L327" s="24"/>
      <c r="M327" s="25"/>
      <c r="N327" s="25"/>
      <c r="O327" s="195"/>
    </row>
    <row r="328" spans="1:17" ht="15.95" customHeight="1" x14ac:dyDescent="0.25">
      <c r="A328" s="121"/>
      <c r="B328" s="23"/>
      <c r="C328" s="24"/>
      <c r="D328" s="24"/>
      <c r="E328" s="24"/>
      <c r="F328" s="480"/>
      <c r="G328" s="485"/>
      <c r="H328" s="23"/>
      <c r="I328" s="24"/>
      <c r="J328" s="24"/>
      <c r="K328" s="24"/>
      <c r="L328" s="24"/>
      <c r="M328" s="25"/>
      <c r="N328" s="25"/>
      <c r="O328" s="195"/>
    </row>
    <row r="329" spans="1:17" ht="15.95" customHeight="1" x14ac:dyDescent="0.25">
      <c r="A329" s="121"/>
      <c r="B329" s="23"/>
      <c r="C329" s="24"/>
      <c r="D329" s="24"/>
      <c r="E329" s="24"/>
      <c r="F329" s="480"/>
      <c r="G329" s="485"/>
      <c r="H329" s="23"/>
      <c r="I329" s="24"/>
      <c r="J329" s="24"/>
      <c r="K329" s="24"/>
      <c r="L329" s="24"/>
      <c r="M329" s="25"/>
      <c r="N329" s="25"/>
      <c r="O329" s="195"/>
    </row>
    <row r="330" spans="1:17" ht="15.95" customHeight="1" x14ac:dyDescent="0.25">
      <c r="A330" s="121"/>
      <c r="B330" s="23"/>
      <c r="C330" s="24"/>
      <c r="D330" s="24"/>
      <c r="E330" s="24"/>
      <c r="F330" s="480"/>
      <c r="G330" s="485"/>
      <c r="H330" s="23"/>
      <c r="I330" s="24"/>
      <c r="J330" s="24"/>
      <c r="K330" s="24"/>
      <c r="L330" s="24"/>
      <c r="M330" s="25"/>
      <c r="N330" s="25"/>
      <c r="O330" s="195"/>
    </row>
    <row r="331" spans="1:17" ht="15.95" customHeight="1" x14ac:dyDescent="0.25">
      <c r="A331" s="121"/>
      <c r="B331" s="23"/>
      <c r="C331" s="24"/>
      <c r="D331" s="24"/>
      <c r="E331" s="24"/>
      <c r="F331" s="480"/>
      <c r="G331" s="485"/>
      <c r="H331" s="23"/>
      <c r="I331" s="24"/>
      <c r="J331" s="24"/>
      <c r="K331" s="24"/>
      <c r="L331" s="24"/>
      <c r="M331" s="25"/>
      <c r="N331" s="25"/>
      <c r="O331" s="195"/>
    </row>
    <row r="332" spans="1:17" ht="15.95" customHeight="1" x14ac:dyDescent="0.25">
      <c r="A332" s="121"/>
      <c r="B332" s="23"/>
      <c r="C332" s="24"/>
      <c r="D332" s="24"/>
      <c r="E332" s="24"/>
      <c r="F332" s="480"/>
      <c r="G332" s="485"/>
      <c r="H332" s="23"/>
      <c r="I332" s="24"/>
      <c r="J332" s="24"/>
      <c r="K332" s="24"/>
      <c r="L332" s="24"/>
      <c r="M332" s="25"/>
      <c r="N332" s="25"/>
      <c r="O332" s="195"/>
    </row>
    <row r="333" spans="1:17" ht="15.95" customHeight="1" x14ac:dyDescent="0.25">
      <c r="A333" s="121"/>
      <c r="B333" s="23"/>
      <c r="C333" s="24"/>
      <c r="D333" s="24"/>
      <c r="E333" s="24"/>
      <c r="F333" s="480"/>
      <c r="G333" s="485"/>
      <c r="H333" s="23"/>
      <c r="I333" s="24"/>
      <c r="J333" s="24"/>
      <c r="K333" s="24"/>
      <c r="L333" s="24"/>
      <c r="M333" s="25"/>
      <c r="N333" s="25"/>
      <c r="O333" s="195"/>
    </row>
    <row r="334" spans="1:17" ht="15.95" customHeight="1" x14ac:dyDescent="0.25">
      <c r="A334" s="121"/>
      <c r="B334" s="23"/>
      <c r="C334" s="24"/>
      <c r="D334" s="24"/>
      <c r="E334" s="24"/>
      <c r="F334" s="480"/>
      <c r="G334" s="485"/>
      <c r="H334" s="23"/>
      <c r="I334" s="24"/>
      <c r="J334" s="24"/>
      <c r="K334" s="24"/>
      <c r="L334" s="24"/>
      <c r="M334" s="25"/>
      <c r="N334" s="25"/>
      <c r="O334" s="195"/>
    </row>
    <row r="335" spans="1:17" ht="15.95" customHeight="1" x14ac:dyDescent="0.25">
      <c r="A335" s="121"/>
      <c r="B335" s="23"/>
      <c r="C335" s="24"/>
      <c r="D335" s="24"/>
      <c r="E335" s="24"/>
      <c r="F335" s="480"/>
      <c r="G335" s="485"/>
      <c r="H335" s="26"/>
      <c r="I335" s="27"/>
      <c r="J335" s="27"/>
      <c r="K335" s="27"/>
      <c r="L335" s="27"/>
      <c r="M335" s="28"/>
      <c r="N335" s="25"/>
      <c r="O335" s="195"/>
    </row>
    <row r="336" spans="1:17" ht="15.95" customHeight="1" x14ac:dyDescent="0.25">
      <c r="A336" s="121"/>
      <c r="B336" s="26"/>
      <c r="C336" s="27"/>
      <c r="D336" s="27"/>
      <c r="E336" s="27"/>
      <c r="F336" s="481"/>
      <c r="G336" s="486"/>
      <c r="H336" s="27"/>
      <c r="I336" s="27"/>
      <c r="J336" s="27"/>
      <c r="K336" s="27"/>
      <c r="L336" s="27"/>
      <c r="M336" s="27"/>
      <c r="N336" s="28"/>
      <c r="O336" s="195"/>
    </row>
    <row r="337" spans="1:17" ht="15.95" customHeight="1" x14ac:dyDescent="0.25">
      <c r="A337" s="121"/>
      <c r="B337" s="23"/>
      <c r="C337" s="24"/>
      <c r="D337" s="24"/>
      <c r="E337" s="24"/>
      <c r="F337" s="480"/>
      <c r="G337" s="480"/>
      <c r="H337" s="24"/>
      <c r="I337" s="24"/>
      <c r="J337" s="24"/>
      <c r="K337" s="24"/>
      <c r="L337" s="24"/>
      <c r="M337" s="24"/>
      <c r="N337" s="25"/>
      <c r="O337" s="195"/>
    </row>
    <row r="338" spans="1:17" ht="15.95" customHeight="1" x14ac:dyDescent="0.25">
      <c r="A338" s="121"/>
      <c r="B338" s="661" t="s">
        <v>84</v>
      </c>
      <c r="C338" s="662"/>
      <c r="D338" s="662"/>
      <c r="E338" s="662"/>
      <c r="F338" s="662"/>
      <c r="G338" s="662"/>
      <c r="H338" s="662"/>
      <c r="I338" s="662"/>
      <c r="J338" s="662"/>
      <c r="K338" s="662"/>
      <c r="L338" s="662"/>
      <c r="M338" s="662"/>
      <c r="N338" s="663"/>
      <c r="O338" s="195"/>
    </row>
    <row r="339" spans="1:17" ht="15.95" customHeight="1" x14ac:dyDescent="0.25">
      <c r="A339" s="121"/>
      <c r="B339" s="23"/>
      <c r="C339" s="24"/>
      <c r="D339" s="24"/>
      <c r="E339" s="24"/>
      <c r="F339" s="483"/>
      <c r="G339" s="484"/>
      <c r="H339" s="31"/>
      <c r="I339" s="31"/>
      <c r="J339" s="24"/>
      <c r="K339" s="24"/>
      <c r="L339" s="24"/>
      <c r="M339" s="24"/>
      <c r="N339" s="25"/>
      <c r="O339" s="195"/>
    </row>
    <row r="340" spans="1:17" ht="15.95" customHeight="1" x14ac:dyDescent="0.25">
      <c r="A340" s="121"/>
      <c r="B340" s="23"/>
      <c r="C340" s="638" t="s">
        <v>37</v>
      </c>
      <c r="D340" s="639"/>
      <c r="E340" s="640"/>
      <c r="F340" s="483"/>
      <c r="G340" s="484"/>
      <c r="H340" s="641" t="s">
        <v>28</v>
      </c>
      <c r="I340" s="642"/>
      <c r="J340" s="39">
        <f>+$D$358-SUMIF($H$346:$H$360,"&lt;"&amp;$M$4,$K$346:$K$360)</f>
        <v>0</v>
      </c>
      <c r="K340" s="24"/>
      <c r="L340" s="24"/>
      <c r="M340" s="24"/>
      <c r="N340" s="25"/>
      <c r="O340" s="195"/>
    </row>
    <row r="341" spans="1:17" ht="15.95" customHeight="1" x14ac:dyDescent="0.25">
      <c r="A341" s="121"/>
      <c r="B341" s="23"/>
      <c r="C341" s="58"/>
      <c r="D341" s="664"/>
      <c r="E341" s="665"/>
      <c r="F341" s="483"/>
      <c r="G341" s="484"/>
      <c r="H341" s="645" t="s">
        <v>29</v>
      </c>
      <c r="I341" s="646"/>
      <c r="J341" s="40">
        <f>+$D$357</f>
        <v>44614</v>
      </c>
      <c r="K341" s="24"/>
      <c r="L341" s="24"/>
      <c r="M341" s="24"/>
      <c r="N341" s="25"/>
      <c r="O341" s="195"/>
    </row>
    <row r="342" spans="1:17" ht="15.95" customHeight="1" x14ac:dyDescent="0.25">
      <c r="A342" s="121"/>
      <c r="B342" s="23"/>
      <c r="C342" s="59" t="s">
        <v>25</v>
      </c>
      <c r="D342" s="658"/>
      <c r="E342" s="659"/>
      <c r="F342" s="483"/>
      <c r="G342" s="484"/>
      <c r="H342" s="649" t="s">
        <v>30</v>
      </c>
      <c r="I342" s="650"/>
      <c r="J342" s="42" t="str">
        <f t="array" ref="J342">+IF($H$359&gt;=$M$4,MIN(IF($H$346:$H$360&gt;$M$4,$H$346:$H$360,"")),"vencida")</f>
        <v>vencida</v>
      </c>
      <c r="K342" s="24"/>
      <c r="L342" s="24"/>
      <c r="M342" s="24"/>
      <c r="N342" s="25"/>
      <c r="O342" s="195"/>
    </row>
    <row r="343" spans="1:17" ht="20.100000000000001" customHeight="1" x14ac:dyDescent="0.25">
      <c r="A343" s="121"/>
      <c r="B343" s="23"/>
      <c r="C343" s="59" t="s">
        <v>6</v>
      </c>
      <c r="D343" s="658" t="s">
        <v>83</v>
      </c>
      <c r="E343" s="659"/>
      <c r="F343" s="483"/>
      <c r="G343" s="484"/>
      <c r="H343" s="24"/>
      <c r="I343" s="24"/>
      <c r="J343" s="24"/>
      <c r="K343" s="24"/>
      <c r="L343" s="24"/>
      <c r="M343" s="24"/>
      <c r="N343" s="25"/>
      <c r="O343" s="195"/>
    </row>
    <row r="344" spans="1:17" ht="15.95" customHeight="1" x14ac:dyDescent="0.25">
      <c r="A344" s="121"/>
      <c r="B344" s="23"/>
      <c r="C344" s="59" t="s">
        <v>8</v>
      </c>
      <c r="D344" s="658" t="s">
        <v>17</v>
      </c>
      <c r="E344" s="659"/>
      <c r="F344" s="483"/>
      <c r="G344" s="484"/>
      <c r="H344" s="651" t="s">
        <v>41</v>
      </c>
      <c r="I344" s="652"/>
      <c r="J344" s="652"/>
      <c r="K344" s="652"/>
      <c r="L344" s="653"/>
      <c r="M344" s="24"/>
      <c r="N344" s="25"/>
      <c r="O344" s="195"/>
    </row>
    <row r="345" spans="1:17" ht="15.95" customHeight="1" x14ac:dyDescent="0.25">
      <c r="A345" s="121"/>
      <c r="B345" s="23"/>
      <c r="C345" s="59" t="s">
        <v>33</v>
      </c>
      <c r="D345" s="73" t="s">
        <v>309</v>
      </c>
      <c r="E345" s="273">
        <v>1</v>
      </c>
      <c r="F345" s="483">
        <f>+E345*J340</f>
        <v>0</v>
      </c>
      <c r="G345" s="484"/>
      <c r="H345" s="81" t="s">
        <v>0</v>
      </c>
      <c r="I345" s="82" t="s">
        <v>2</v>
      </c>
      <c r="J345" s="82" t="s">
        <v>3</v>
      </c>
      <c r="K345" s="82" t="s">
        <v>4</v>
      </c>
      <c r="L345" s="83" t="s">
        <v>5</v>
      </c>
      <c r="M345" s="82" t="s">
        <v>44</v>
      </c>
      <c r="N345" s="25"/>
      <c r="O345" s="194" t="str">
        <f>+D387</f>
        <v>ON Pyme CNV Garantizada</v>
      </c>
    </row>
    <row r="346" spans="1:17" ht="15.95" customHeight="1" x14ac:dyDescent="0.25">
      <c r="A346" s="121"/>
      <c r="B346" s="23"/>
      <c r="C346" s="59" t="s">
        <v>34</v>
      </c>
      <c r="D346" s="658" t="s">
        <v>48</v>
      </c>
      <c r="E346" s="659"/>
      <c r="F346" s="483"/>
      <c r="G346" s="484"/>
      <c r="H346" s="45"/>
      <c r="I346" s="46"/>
      <c r="J346" s="46"/>
      <c r="K346" s="46"/>
      <c r="L346" s="47"/>
      <c r="M346" s="23"/>
      <c r="N346" s="25"/>
      <c r="O346" s="195"/>
    </row>
    <row r="347" spans="1:17" ht="15.95" customHeight="1" x14ac:dyDescent="0.25">
      <c r="A347" s="121"/>
      <c r="B347" s="23"/>
      <c r="C347" s="79" t="s">
        <v>38</v>
      </c>
      <c r="D347" s="75"/>
      <c r="E347" s="76"/>
      <c r="F347" s="483"/>
      <c r="G347" s="484"/>
      <c r="H347" s="48">
        <f>+$D$356</f>
        <v>43518</v>
      </c>
      <c r="I347" s="70"/>
      <c r="J347" s="49"/>
      <c r="K347" s="49"/>
      <c r="L347" s="50">
        <f>+D358</f>
        <v>15000000</v>
      </c>
      <c r="M347" s="93">
        <f>-L347</f>
        <v>-15000000</v>
      </c>
      <c r="N347" s="25"/>
      <c r="O347" s="194" t="str">
        <f>+IF(J385="vencida",IF(D387='Reporte - Oscuro'!$C$40,'Reporte - Oscuro'!$C$40&amp;" vencida",IF(D387='Reporte - Oscuro'!$C$41,'Reporte - Oscuro'!$C$41&amp;" vencida",IF(D387='Reporte - Oscuro'!$C$42,'Reporte - Oscuro'!$C$42&amp;" vencida",'Reporte - Oscuro'!$C$43&amp;" vencida"))),D387&amp;" vigente")</f>
        <v>ON Pyme CNV Garantizada vencida</v>
      </c>
    </row>
    <row r="348" spans="1:17" ht="15.95" customHeight="1" x14ac:dyDescent="0.25">
      <c r="A348" s="121"/>
      <c r="B348" s="23"/>
      <c r="C348" s="59"/>
      <c r="D348" s="73"/>
      <c r="E348" s="74"/>
      <c r="F348" s="483"/>
      <c r="G348" s="484"/>
      <c r="H348" s="51">
        <f>IF(DAY(H347)=DAY($H$347),IF(WEEKDAY(EDATE(H347,$D$359),3)&lt;5,EDATE(H347,$D$359),WORKDAY(EDATE(H347,$D$359),1)),IF(WEEKDAY(EDATE($H$347,$D$359*COUNT($H$347:H347)),3)&lt;5,EDATE($H$347,$D$359*COUNT($H$347:H347)),WORKDAY(EDATE($H$347,$D$359*COUNT($H$347:H347)),1)))</f>
        <v>43607</v>
      </c>
      <c r="I348" s="71" t="s">
        <v>13</v>
      </c>
      <c r="J348" s="52">
        <f>(IF(AND($D$362&lt;&gt;"",$D$362&gt;(AVERAGE(VLOOKUP(WORKDAY.INTL(H348,-7,1,),'Tasas-TC'!A:B,2,FALSE),VLOOKUP(WORKDAY.INTL(H347,-7,1,),'Tasas-TC'!A:B,2,FALSE))+$D$361)),$D$362,IF(AND($D$363&lt;&gt;"",$D$363&lt;(AVERAGE(VLOOKUP(WORKDAY.INTL(H348,-7,1,),'Tasas-TC'!A:B,2,FALSE),VLOOKUP(WORKDAY.INTL(H347,-7,1,),'Tasas-TC'!A:B,2,FALSE))+$D$361)),$D$363,(AVERAGE(VLOOKUP(WORKDAY.INTL(H348,-7,1,),'Tasas-TC'!A:B,2,FALSE),VLOOKUP(WORKDAY.INTL(H347,-7,1,),'Tasas-TC'!A:B,2,FALSE))+$D$361)))/360)*(H348-H347)*L347</f>
        <v>1932736.9791666667</v>
      </c>
      <c r="K348" s="52">
        <f t="shared" ref="K348:K357" si="41">+IF(OR(I348="A + C",I348="A"),$D$358*$D$364,0)</f>
        <v>1251000</v>
      </c>
      <c r="L348" s="53">
        <f t="shared" ref="L348:L359" si="42">+L347-K348</f>
        <v>13749000</v>
      </c>
      <c r="M348" s="94">
        <f t="shared" ref="M348:M359" si="43">+J348+K348</f>
        <v>3183736.979166667</v>
      </c>
      <c r="N348" s="25"/>
      <c r="O348" s="195"/>
    </row>
    <row r="349" spans="1:17" ht="15.95" customHeight="1" x14ac:dyDescent="0.25">
      <c r="A349" s="121"/>
      <c r="B349" s="23"/>
      <c r="C349" s="60"/>
      <c r="D349" s="77"/>
      <c r="E349" s="78"/>
      <c r="F349" s="483"/>
      <c r="G349" s="484"/>
      <c r="H349" s="51">
        <f>IF(DAY(H348)=DAY($H$347),IF(WEEKDAY(EDATE(H348,$D$359),3)&lt;5,EDATE(H348,$D$359),WORKDAY(EDATE(H348,$D$359),1)),IF(WEEKDAY(EDATE($H$347,$D$359*COUNT($H$347:H348)),3)&lt;5,EDATE($H$347,$D$359*COUNT($H$347:H348)),WORKDAY(EDATE($H$347,$D$359*COUNT($H$347:H348)),1)))</f>
        <v>43699</v>
      </c>
      <c r="I349" s="71" t="s">
        <v>13</v>
      </c>
      <c r="J349" s="52">
        <f>(IF(AND($D$362&lt;&gt;"",$D$362&gt;(AVERAGE(VLOOKUP(WORKDAY.INTL(H349,-7,1,),'Tasas-TC'!A:B,2,FALSE),VLOOKUP(WORKDAY.INTL(H348,-7,1,),'Tasas-TC'!A:B,2,FALSE))+$D$361)),$D$362,IF(AND($D$363&lt;&gt;"",$D$363&lt;(AVERAGE(VLOOKUP(WORKDAY.INTL(H349,-7,1,),'Tasas-TC'!A:B,2,FALSE),VLOOKUP(WORKDAY.INTL(H348,-7,1,),'Tasas-TC'!A:B,2,FALSE))+$D$361)),$D$363,(AVERAGE(VLOOKUP(WORKDAY.INTL(H349,-7,1,),'Tasas-TC'!A:B,2,FALSE),VLOOKUP(WORKDAY.INTL(H348,-7,1,),'Tasas-TC'!A:B,2,FALSE))+$D$361)))/360)*(H349-H348)*L348</f>
        <v>2211173.3770833332</v>
      </c>
      <c r="K349" s="52">
        <f t="shared" si="41"/>
        <v>1251000</v>
      </c>
      <c r="L349" s="53">
        <f t="shared" si="42"/>
        <v>12498000</v>
      </c>
      <c r="M349" s="94">
        <f t="shared" si="43"/>
        <v>3462173.3770833332</v>
      </c>
      <c r="N349" s="25"/>
      <c r="O349" s="195"/>
    </row>
    <row r="350" spans="1:17" ht="15.95" customHeight="1" x14ac:dyDescent="0.25">
      <c r="A350" s="121"/>
      <c r="B350" s="23"/>
      <c r="C350" s="60"/>
      <c r="D350" s="666" t="str">
        <f>+B338</f>
        <v>Bauge Construcciones I</v>
      </c>
      <c r="E350" s="667"/>
      <c r="F350" s="483"/>
      <c r="G350" s="484">
        <f>+J340</f>
        <v>0</v>
      </c>
      <c r="H350" s="51">
        <f>IF(DAY(H349)=DAY($H$347),IF(WEEKDAY(EDATE(H349,$D$359),3)&lt;5,EDATE(H349,$D$359),WORKDAY(EDATE(H349,$D$359),1)),IF(WEEKDAY(EDATE($H$347,$D$359*COUNT($H$347:H349)),3)&lt;5,EDATE($H$347,$D$359*COUNT($H$347:H349)),WORKDAY(EDATE($H$347,$D$359*COUNT($H$347:H349)),1)))</f>
        <v>43791</v>
      </c>
      <c r="I350" s="71" t="s">
        <v>13</v>
      </c>
      <c r="J350" s="52">
        <f>(IF(AND($D$362&lt;&gt;"",$D$362&gt;(AVERAGE(VLOOKUP(WORKDAY.INTL(H350,-7,1,),'Tasas-TC'!A:B,2,FALSE),VLOOKUP(WORKDAY.INTL(H349,-7,1,),'Tasas-TC'!A:B,2,FALSE))+$D$361)),$D$362,IF(AND($D$363&lt;&gt;"",$D$363&lt;(AVERAGE(VLOOKUP(WORKDAY.INTL(H350,-7,1,),'Tasas-TC'!A:B,2,FALSE),VLOOKUP(WORKDAY.INTL(H349,-7,1,),'Tasas-TC'!A:B,2,FALSE))+$D$361)),$D$363,(AVERAGE(VLOOKUP(WORKDAY.INTL(H350,-7,1,),'Tasas-TC'!A:B,2,FALSE),VLOOKUP(WORKDAY.INTL(H349,-7,1,),'Tasas-TC'!A:B,2,FALSE))+$D$361)))/360)*(H350-H349)*L349</f>
        <v>1909173.65</v>
      </c>
      <c r="K350" s="52">
        <f t="shared" si="41"/>
        <v>1251000</v>
      </c>
      <c r="L350" s="53">
        <f t="shared" si="42"/>
        <v>11247000</v>
      </c>
      <c r="M350" s="94">
        <f t="shared" si="43"/>
        <v>3160173.65</v>
      </c>
      <c r="N350" s="25"/>
      <c r="O350" s="195"/>
    </row>
    <row r="351" spans="1:17" ht="15.95" customHeight="1" x14ac:dyDescent="0.25">
      <c r="A351" s="121"/>
      <c r="B351" s="32"/>
      <c r="D351" s="644"/>
      <c r="E351" s="660"/>
      <c r="F351" s="483"/>
      <c r="G351" s="484"/>
      <c r="H351" s="51">
        <f>IF(DAY(H350)=DAY($H$347),IF(WEEKDAY(EDATE(H350,$D$359),3)&lt;5,EDATE(H350,$D$359),WORKDAY(EDATE(H350,$D$359),1)),IF(WEEKDAY(EDATE($H$347,$D$359*COUNT($H$347:H350)),3)&lt;5,EDATE($H$347,$D$359*COUNT($H$347:H350)),WORKDAY(EDATE($H$347,$D$359*COUNT($H$347:H350)),1)))</f>
        <v>43885</v>
      </c>
      <c r="I351" s="71" t="s">
        <v>13</v>
      </c>
      <c r="J351" s="52">
        <f>(IF(AND($D$362&lt;&gt;"",$D$362&gt;(AVERAGE(VLOOKUP(WORKDAY.INTL(H351,-7,1,),'Tasas-TC'!A:B,2,FALSE),VLOOKUP(WORKDAY.INTL(H350,-7,1,),'Tasas-TC'!A:B,2,FALSE))+$D$361)),$D$362,IF(AND($D$363&lt;&gt;"",$D$363&lt;(AVERAGE(VLOOKUP(WORKDAY.INTL(H351,-7,1,),'Tasas-TC'!A:B,2,FALSE),VLOOKUP(WORKDAY.INTL(H350,-7,1,),'Tasas-TC'!A:B,2,FALSE))+$D$361)),$D$363,(AVERAGE(VLOOKUP(WORKDAY.INTL(H351,-7,1,),'Tasas-TC'!A:B,2,FALSE),VLOOKUP(WORKDAY.INTL(H350,-7,1,),'Tasas-TC'!A:B,2,FALSE))+$D$361)))/360)*(H351-H350)*L350</f>
        <v>1428712.6583333334</v>
      </c>
      <c r="K351" s="52">
        <f t="shared" si="41"/>
        <v>1251000</v>
      </c>
      <c r="L351" s="53">
        <f t="shared" si="42"/>
        <v>9996000</v>
      </c>
      <c r="M351" s="94">
        <f t="shared" si="43"/>
        <v>2679712.6583333332</v>
      </c>
      <c r="N351" s="25"/>
      <c r="O351" s="195"/>
    </row>
    <row r="352" spans="1:17" ht="15.95" customHeight="1" x14ac:dyDescent="0.25">
      <c r="A352" s="121"/>
      <c r="B352" s="23"/>
      <c r="C352" s="638" t="s">
        <v>36</v>
      </c>
      <c r="D352" s="640"/>
      <c r="E352" s="36"/>
      <c r="F352" s="483"/>
      <c r="G352" s="484"/>
      <c r="H352" s="51">
        <f>IF(DAY(H351)=DAY($H$347),IF(WEEKDAY(EDATE(H351,$D$359),3)&lt;5,EDATE(H351,$D$359),WORKDAY(EDATE(H351,$D$359),1)),IF(WEEKDAY(EDATE($H$347,$D$359*COUNT($H$347:H351)),3)&lt;5,EDATE($H$347,$D$359*COUNT($H$347:H351)),WORKDAY(EDATE($H$347,$D$359*COUNT($H$347:H351)),1)))</f>
        <v>43973</v>
      </c>
      <c r="I352" s="71" t="s">
        <v>13</v>
      </c>
      <c r="J352" s="52">
        <f>(IF(AND($D$362&lt;&gt;"",$D$362&gt;(AVERAGE(VLOOKUP(WORKDAY.INTL(H352,-7,1,),'Tasas-TC'!A:B,2,FALSE),VLOOKUP(WORKDAY.INTL(H351,-7,1,),'Tasas-TC'!A:B,2,FALSE))+$D$361)),$D$362,IF(AND($D$363&lt;&gt;"",$D$363&lt;(AVERAGE(VLOOKUP(WORKDAY.INTL(H352,-7,1,),'Tasas-TC'!A:B,2,FALSE),VLOOKUP(WORKDAY.INTL(H351,-7,1,),'Tasas-TC'!A:B,2,FALSE))+$D$361)),$D$363,(AVERAGE(VLOOKUP(WORKDAY.INTL(H352,-7,1,),'Tasas-TC'!A:B,2,FALSE),VLOOKUP(WORKDAY.INTL(H351,-7,1,),'Tasas-TC'!A:B,2,FALSE))+$D$361)))/360)*(H352-H351)*L351</f>
        <v>890185.45000000007</v>
      </c>
      <c r="K352" s="52">
        <f t="shared" si="41"/>
        <v>1251000</v>
      </c>
      <c r="L352" s="53">
        <f t="shared" si="42"/>
        <v>8745000</v>
      </c>
      <c r="M352" s="94">
        <f t="shared" si="43"/>
        <v>2141185.4500000002</v>
      </c>
      <c r="N352" s="25"/>
      <c r="O352" s="197">
        <f>+M390</f>
        <v>-21600000</v>
      </c>
      <c r="P352" s="197">
        <f>-M390</f>
        <v>21600000</v>
      </c>
      <c r="Q352" s="197"/>
    </row>
    <row r="353" spans="1:17" ht="15.95" customHeight="1" x14ac:dyDescent="0.25">
      <c r="A353" s="121"/>
      <c r="B353" s="23"/>
      <c r="C353" s="59"/>
      <c r="D353" s="62"/>
      <c r="E353" s="36"/>
      <c r="F353" s="483"/>
      <c r="G353" s="484"/>
      <c r="H353" s="51">
        <f>IF(DAY(H352)=DAY($H$347),IF(WEEKDAY(EDATE(H352,$D$359),3)&lt;5,EDATE(H352,$D$359),WORKDAY(EDATE(H352,$D$359),1)),IF(WEEKDAY(EDATE($H$347,$D$359*COUNT($H$347:H352)),3)&lt;5,EDATE($H$347,$D$359*COUNT($H$347:H352)),WORKDAY(EDATE($H$347,$D$359*COUNT($H$347:H352)),1)))</f>
        <v>44067</v>
      </c>
      <c r="I353" s="71" t="s">
        <v>13</v>
      </c>
      <c r="J353" s="52">
        <f>(IF(AND($D$362&lt;&gt;"",$D$362&gt;(AVERAGE(VLOOKUP(WORKDAY.INTL(H353,-7,1,),'Tasas-TC'!A:B,2,FALSE),VLOOKUP(WORKDAY.INTL(H352,-7,1,),'Tasas-TC'!A:B,2,FALSE))+$D$361)),$D$362,IF(AND($D$363&lt;&gt;"",$D$363&lt;(AVERAGE(VLOOKUP(WORKDAY.INTL(H353,-7,1,),'Tasas-TC'!A:B,2,FALSE),VLOOKUP(WORKDAY.INTL(H352,-7,1,),'Tasas-TC'!A:B,2,FALSE))+$D$361)),$D$363,(AVERAGE(VLOOKUP(WORKDAY.INTL(H353,-7,1,),'Tasas-TC'!A:B,2,FALSE),VLOOKUP(WORKDAY.INTL(H352,-7,1,),'Tasas-TC'!A:B,2,FALSE))+$D$361)))/360)*(H353-H352)*L352</f>
        <v>764088.30208333337</v>
      </c>
      <c r="K353" s="52">
        <f t="shared" si="41"/>
        <v>1251000</v>
      </c>
      <c r="L353" s="53">
        <f t="shared" si="42"/>
        <v>7494000</v>
      </c>
      <c r="M353" s="94">
        <f t="shared" si="43"/>
        <v>2015088.3020833335</v>
      </c>
      <c r="N353" s="25"/>
      <c r="O353" s="197">
        <f>+M391+O352</f>
        <v>-13835587.5</v>
      </c>
      <c r="P353" s="197">
        <f>+(M391/(1+$J$398)^((H391-$H$390)/365))/$P$352</f>
        <v>0.35946354166666666</v>
      </c>
      <c r="Q353" s="197">
        <f>+P353*((H391-$H$390)/365)</f>
        <v>0.18317868150684932</v>
      </c>
    </row>
    <row r="354" spans="1:17" ht="15.95" customHeight="1" x14ac:dyDescent="0.25">
      <c r="A354" s="121"/>
      <c r="B354" s="23"/>
      <c r="C354" s="59" t="s">
        <v>9</v>
      </c>
      <c r="D354" s="98" t="s">
        <v>18</v>
      </c>
      <c r="E354" s="36"/>
      <c r="F354" s="483"/>
      <c r="G354" s="484"/>
      <c r="H354" s="51">
        <f>IF(DAY(H353)=DAY($H$347),IF(WEEKDAY(EDATE(H353,$D$359),3)&lt;5,EDATE(H353,$D$359),WORKDAY(EDATE(H353,$D$359),1)),IF(WEEKDAY(EDATE($H$347,$D$359*COUNT($H$347:H353)),3)&lt;5,EDATE($H$347,$D$359*COUNT($H$347:H353)),WORKDAY(EDATE($H$347,$D$359*COUNT($H$347:H353)),1)))</f>
        <v>44158</v>
      </c>
      <c r="I354" s="71" t="s">
        <v>13</v>
      </c>
      <c r="J354" s="52">
        <f>(IF(AND($D$362&lt;&gt;"",$D$362&gt;(AVERAGE(VLOOKUP(WORKDAY.INTL(H354,-7,1,),'Tasas-TC'!A:B,2,FALSE),VLOOKUP(WORKDAY.INTL(H353,-7,1,),'Tasas-TC'!A:B,2,FALSE))+$D$361)),$D$362,IF(AND($D$363&lt;&gt;"",$D$363&lt;(AVERAGE(VLOOKUP(WORKDAY.INTL(H354,-7,1,),'Tasas-TC'!A:B,2,FALSE),VLOOKUP(WORKDAY.INTL(H353,-7,1,),'Tasas-TC'!A:B,2,FALSE))+$D$361)),$D$363,(AVERAGE(VLOOKUP(WORKDAY.INTL(H354,-7,1,),'Tasas-TC'!A:B,2,FALSE),VLOOKUP(WORKDAY.INTL(H353,-7,1,),'Tasas-TC'!A:B,2,FALSE))+$D$361)))/360)*(H354-H353)*L353</f>
        <v>727417.60000000021</v>
      </c>
      <c r="K354" s="52">
        <f t="shared" si="41"/>
        <v>1251000</v>
      </c>
      <c r="L354" s="53">
        <f t="shared" si="42"/>
        <v>6243000</v>
      </c>
      <c r="M354" s="94">
        <f t="shared" si="43"/>
        <v>1978417.6</v>
      </c>
      <c r="N354" s="25"/>
      <c r="O354" s="197">
        <f>+M392+O353</f>
        <v>-7747458.75</v>
      </c>
      <c r="P354" s="197">
        <f>+(M392/(1+$J$398)^((H392-$H$390)/365))/$P$352</f>
        <v>0.28185781250000003</v>
      </c>
      <c r="Q354" s="197">
        <f>+P354*((H392-$H$390)/365)</f>
        <v>0.28417445205479458</v>
      </c>
    </row>
    <row r="355" spans="1:17" ht="15.95" customHeight="1" x14ac:dyDescent="0.25">
      <c r="A355" s="121"/>
      <c r="B355" s="23"/>
      <c r="C355" s="59" t="s">
        <v>10</v>
      </c>
      <c r="D355" s="65">
        <v>43515</v>
      </c>
      <c r="E355" s="36"/>
      <c r="F355" s="483"/>
      <c r="G355" s="484"/>
      <c r="H355" s="51">
        <f>IF(DAY(H354)=DAY($H$347),IF(WEEKDAY(EDATE(H354,$D$359),3)&lt;5,EDATE(H354,$D$359),WORKDAY(EDATE(H354,$D$359),1)),IF(WEEKDAY(EDATE($H$347,$D$359*COUNT($H$347:H354)),3)&lt;5,EDATE($H$347,$D$359*COUNT($H$347:H354)),WORKDAY(EDATE($H$347,$D$359*COUNT($H$347:H354)),1)))</f>
        <v>44249</v>
      </c>
      <c r="I355" s="71" t="s">
        <v>13</v>
      </c>
      <c r="J355" s="52">
        <f>(IF(AND($D$362&lt;&gt;"",$D$362&gt;(AVERAGE(VLOOKUP(WORKDAY.INTL(H355,-7,1,),'Tasas-TC'!A:B,2,FALSE),VLOOKUP(WORKDAY.INTL(H354,-7,1,),'Tasas-TC'!A:B,2,FALSE))+$D$361)),$D$362,IF(AND($D$363&lt;&gt;"",$D$363&lt;(AVERAGE(VLOOKUP(WORKDAY.INTL(H355,-7,1,),'Tasas-TC'!A:B,2,FALSE),VLOOKUP(WORKDAY.INTL(H354,-7,1,),'Tasas-TC'!A:B,2,FALSE))+$D$361)),$D$363,(AVERAGE(VLOOKUP(WORKDAY.INTL(H355,-7,1,),'Tasas-TC'!A:B,2,FALSE),VLOOKUP(WORKDAY.INTL(H354,-7,1,),'Tasas-TC'!A:B,2,FALSE))+$D$361)))/360)*(H355-H354)*L354</f>
        <v>643960.0307291667</v>
      </c>
      <c r="K355" s="52">
        <f t="shared" si="41"/>
        <v>1251000</v>
      </c>
      <c r="L355" s="53">
        <f t="shared" si="42"/>
        <v>4992000</v>
      </c>
      <c r="M355" s="94">
        <f t="shared" si="43"/>
        <v>1894960.0307291667</v>
      </c>
      <c r="N355" s="25"/>
      <c r="O355" s="197">
        <f>+M393+O354</f>
        <v>4378751.25</v>
      </c>
      <c r="P355" s="197">
        <f>+(M393/(1+$J$398)^((H393-$H$390)/365))/$P$352</f>
        <v>0.56139861111111111</v>
      </c>
      <c r="Q355" s="197">
        <f>+P355*((H393-$H$390)/365)</f>
        <v>0.84594311263318112</v>
      </c>
    </row>
    <row r="356" spans="1:17" ht="15.95" customHeight="1" x14ac:dyDescent="0.25">
      <c r="A356" s="121"/>
      <c r="B356" s="23"/>
      <c r="C356" s="59" t="s">
        <v>11</v>
      </c>
      <c r="D356" s="65">
        <v>43518</v>
      </c>
      <c r="E356" s="36"/>
      <c r="F356" s="483"/>
      <c r="G356" s="484"/>
      <c r="H356" s="51">
        <f>IF(DAY(H355)=DAY($H$347),IF(WEEKDAY(EDATE(H355,$D$359),3)&lt;5,EDATE(H355,$D$359),WORKDAY(EDATE(H355,$D$359),1)),IF(WEEKDAY(EDATE($H$347,$D$359*COUNT($H$347:H355)),3)&lt;5,EDATE($H$347,$D$359*COUNT($H$347:H355)),WORKDAY(EDATE($H$347,$D$359*COUNT($H$347:H355)),1)))</f>
        <v>44340</v>
      </c>
      <c r="I356" s="71" t="s">
        <v>13</v>
      </c>
      <c r="J356" s="52">
        <f>(IF(AND($D$362&lt;&gt;"",$D$362&gt;(AVERAGE(VLOOKUP(WORKDAY.INTL(H356,-7,1,),'Tasas-TC'!A:B,2,FALSE),VLOOKUP(WORKDAY.INTL(H355,-7,1,),'Tasas-TC'!A:B,2,FALSE))+$D$361)),$D$362,IF(AND($D$363&lt;&gt;"",$D$363&lt;(AVERAGE(VLOOKUP(WORKDAY.INTL(H356,-7,1,),'Tasas-TC'!A:B,2,FALSE),VLOOKUP(WORKDAY.INTL(H355,-7,1,),'Tasas-TC'!A:B,2,FALSE))+$D$361)),$D$363,(AVERAGE(VLOOKUP(WORKDAY.INTL(H356,-7,1,),'Tasas-TC'!A:B,2,FALSE),VLOOKUP(WORKDAY.INTL(H355,-7,1,),'Tasas-TC'!A:B,2,FALSE))+$D$361)))/360)*(H356-H355)*L355</f>
        <v>530693.79999999993</v>
      </c>
      <c r="K356" s="52">
        <f t="shared" si="41"/>
        <v>1251000</v>
      </c>
      <c r="L356" s="53">
        <f t="shared" si="42"/>
        <v>3741000</v>
      </c>
      <c r="M356" s="94">
        <f t="shared" si="43"/>
        <v>1781693.7999999998</v>
      </c>
      <c r="N356" s="25"/>
      <c r="O356" s="197">
        <f>+M394+O355</f>
        <v>14860136.25</v>
      </c>
      <c r="P356" s="197">
        <f>+(M394/(1+$J$398)^((H394-$H$390)/365))/$P$352</f>
        <v>0.48524930555555557</v>
      </c>
      <c r="Q356" s="197">
        <f>+P356*((H394-$H$390)/365)</f>
        <v>0.9731575114155252</v>
      </c>
    </row>
    <row r="357" spans="1:17" ht="15.95" customHeight="1" x14ac:dyDescent="0.25">
      <c r="A357" s="121"/>
      <c r="B357" s="23"/>
      <c r="C357" s="59" t="s">
        <v>12</v>
      </c>
      <c r="D357" s="65">
        <v>44614</v>
      </c>
      <c r="E357" s="36"/>
      <c r="F357" s="483"/>
      <c r="G357" s="484"/>
      <c r="H357" s="51">
        <f>IF(DAY(H356)=DAY($H$347),IF(WEEKDAY(EDATE(H356,$D$359),3)&lt;5,EDATE(H356,$D$359),WORKDAY(EDATE(H356,$D$359),1)),IF(WEEKDAY(EDATE($H$347,$D$359*COUNT($H$347:H356)),3)&lt;5,EDATE($H$347,$D$359*COUNT($H$347:H356)),WORKDAY(EDATE($H$347,$D$359*COUNT($H$347:H356)),1)))</f>
        <v>44431</v>
      </c>
      <c r="I357" s="71" t="s">
        <v>13</v>
      </c>
      <c r="J357" s="52">
        <f>(IF(AND($D$362&lt;&gt;"",$D$362&gt;(AVERAGE(VLOOKUP(WORKDAY.INTL(H357,-7,1,),'Tasas-TC'!A:B,2,FALSE),VLOOKUP(WORKDAY.INTL(H356,-7,1,),'Tasas-TC'!A:B,2,FALSE))+$D$361)),$D$362,IF(AND($D$363&lt;&gt;"",$D$363&lt;(AVERAGE(VLOOKUP(WORKDAY.INTL(H357,-7,1,),'Tasas-TC'!A:B,2,FALSE),VLOOKUP(WORKDAY.INTL(H356,-7,1,),'Tasas-TC'!A:B,2,FALSE))+$D$361)),$D$363,(AVERAGE(VLOOKUP(WORKDAY.INTL(H357,-7,1,),'Tasas-TC'!A:B,2,FALSE),VLOOKUP(WORKDAY.INTL(H356,-7,1,),'Tasas-TC'!A:B,2,FALSE))+$D$361)))/360)*(H357-H356)*L356</f>
        <v>397996.93645833334</v>
      </c>
      <c r="K357" s="52">
        <f t="shared" si="41"/>
        <v>1251000</v>
      </c>
      <c r="L357" s="53">
        <f t="shared" si="42"/>
        <v>2490000</v>
      </c>
      <c r="M357" s="94">
        <f t="shared" si="43"/>
        <v>1648996.9364583334</v>
      </c>
      <c r="N357" s="25"/>
      <c r="O357" s="197"/>
      <c r="P357" s="197"/>
      <c r="Q357" s="197"/>
    </row>
    <row r="358" spans="1:17" ht="15.95" customHeight="1" x14ac:dyDescent="0.25">
      <c r="A358" s="121"/>
      <c r="B358" s="23"/>
      <c r="C358" s="59" t="s">
        <v>27</v>
      </c>
      <c r="D358" s="66">
        <v>15000000</v>
      </c>
      <c r="E358" s="41"/>
      <c r="F358" s="480"/>
      <c r="G358" s="484"/>
      <c r="H358" s="51">
        <f>IF(DAY(H357)=DAY($H$347),IF(WEEKDAY(EDATE(H357,$D$359),3)&lt;5,EDATE(H357,$D$359),WORKDAY(EDATE(H357,$D$359),1)),IF(WEEKDAY(EDATE($H$347,$D$359*COUNT($H$347:H357)),3)&lt;5,EDATE($H$347,$D$359*COUNT($H$347:H357)),WORKDAY(EDATE($H$347,$D$359*COUNT($H$347:H357)),1)))</f>
        <v>44522</v>
      </c>
      <c r="I358" s="71" t="s">
        <v>13</v>
      </c>
      <c r="J358" s="52">
        <f>(IF(AND($D$362&lt;&gt;"",$D$362&gt;(AVERAGE(VLOOKUP(WORKDAY.INTL(H358,-7,1,),'Tasas-TC'!A:B,2,FALSE),VLOOKUP(WORKDAY.INTL(H357,-7,1,),'Tasas-TC'!A:B,2,FALSE))+$D$361)),$D$362,IF(AND($D$363&lt;&gt;"",$D$363&lt;(AVERAGE(VLOOKUP(WORKDAY.INTL(H358,-7,1,),'Tasas-TC'!A:B,2,FALSE),VLOOKUP(WORKDAY.INTL(H357,-7,1,),'Tasas-TC'!A:B,2,FALSE))+$D$361)),$D$363,(AVERAGE(VLOOKUP(WORKDAY.INTL(H358,-7,1,),'Tasas-TC'!A:B,2,FALSE),VLOOKUP(WORKDAY.INTL(H357,-7,1,),'Tasas-TC'!A:B,2,FALSE))+$D$361)))/360)*(H358-H357)*L357</f>
        <v>264315.66145833331</v>
      </c>
      <c r="K358" s="52">
        <f>+IF(OR(I358="A + C",I358="A"),$D$358*$D$365,0)</f>
        <v>1245000</v>
      </c>
      <c r="L358" s="53">
        <f t="shared" si="42"/>
        <v>1245000</v>
      </c>
      <c r="M358" s="94">
        <f t="shared" si="43"/>
        <v>1509315.6614583333</v>
      </c>
      <c r="N358" s="25"/>
      <c r="O358" s="197"/>
      <c r="P358" s="197"/>
      <c r="Q358" s="197"/>
    </row>
    <row r="359" spans="1:17" ht="15.95" customHeight="1" x14ac:dyDescent="0.25">
      <c r="A359" s="121"/>
      <c r="B359" s="23"/>
      <c r="C359" s="59" t="s">
        <v>26</v>
      </c>
      <c r="D359" s="66">
        <v>3</v>
      </c>
      <c r="E359" s="36"/>
      <c r="F359" s="480"/>
      <c r="G359" s="484"/>
      <c r="H359" s="51">
        <f>IF(DAY(H358)=DAY($H$347),IF(WEEKDAY(EDATE(H358,$D$359),3)&lt;5,EDATE(H358,$D$359),WORKDAY(EDATE(H358,$D$359),1)),IF(WEEKDAY(EDATE($H$347,$D$359*COUNT($H$347:H358)),3)&lt;5,EDATE($H$347,$D$359*COUNT($H$347:H358)),WORKDAY(EDATE($H$347,$D$359*COUNT($H$347:H358)),1)))</f>
        <v>44614</v>
      </c>
      <c r="I359" s="71" t="s">
        <v>13</v>
      </c>
      <c r="J359" s="52">
        <f>(IF(AND($D$362&lt;&gt;"",$D$362&gt;(AVERAGE(VLOOKUP(WORKDAY.INTL(H359,-7,1,),'Tasas-TC'!A:B,2,FALSE),VLOOKUP(WORKDAY.INTL(H358,-7,1,),'Tasas-TC'!A:B,2,FALSE))+$D$361)),$D$362,IF(AND($D$363&lt;&gt;"",$D$363&lt;(AVERAGE(VLOOKUP(WORKDAY.INTL(H359,-7,1,),'Tasas-TC'!A:B,2,FALSE),VLOOKUP(WORKDAY.INTL(H358,-7,1,),'Tasas-TC'!A:B,2,FALSE))+$D$361)),$D$363,(AVERAGE(VLOOKUP(WORKDAY.INTL(H359,-7,1,),'Tasas-TC'!A:B,2,FALSE),VLOOKUP(WORKDAY.INTL(H358,-7,1,),'Tasas-TC'!A:B,2,FALSE))+$D$361)))/360)*(H359-H358)*L358</f>
        <v>138979.17708333334</v>
      </c>
      <c r="K359" s="52">
        <f>+IF(OR(I359="A + C",I359="A"),$D$358*$D$365,0)</f>
        <v>1245000</v>
      </c>
      <c r="L359" s="53">
        <f t="shared" si="42"/>
        <v>0</v>
      </c>
      <c r="M359" s="94">
        <f t="shared" si="43"/>
        <v>1383979.1770833333</v>
      </c>
      <c r="N359" s="25"/>
      <c r="O359" s="197"/>
      <c r="P359" s="29"/>
    </row>
    <row r="360" spans="1:17" ht="15.95" customHeight="1" x14ac:dyDescent="0.25">
      <c r="A360" s="121"/>
      <c r="B360" s="23"/>
      <c r="C360" s="59" t="s">
        <v>19</v>
      </c>
      <c r="D360" s="67" t="s">
        <v>20</v>
      </c>
      <c r="E360" s="43"/>
      <c r="F360" s="480"/>
      <c r="G360" s="484"/>
      <c r="H360" s="54"/>
      <c r="I360" s="61"/>
      <c r="J360" s="55"/>
      <c r="K360" s="56"/>
      <c r="L360" s="57"/>
      <c r="M360" s="95"/>
      <c r="N360" s="25"/>
      <c r="O360" s="197"/>
      <c r="P360" s="29"/>
    </row>
    <row r="361" spans="1:17" ht="15.95" customHeight="1" x14ac:dyDescent="0.25">
      <c r="A361" s="121"/>
      <c r="B361" s="23"/>
      <c r="C361" s="59" t="s">
        <v>14</v>
      </c>
      <c r="D361" s="68">
        <v>7.9000000000000001E-2</v>
      </c>
      <c r="E361" s="43"/>
      <c r="F361" s="480"/>
      <c r="G361" s="484"/>
      <c r="H361" s="24"/>
      <c r="I361" s="24"/>
      <c r="J361" s="24"/>
      <c r="K361" s="24"/>
      <c r="L361" s="24"/>
      <c r="M361" s="24"/>
      <c r="N361" s="25"/>
      <c r="O361" s="197"/>
      <c r="P361" s="29"/>
    </row>
    <row r="362" spans="1:17" ht="15.95" customHeight="1" x14ac:dyDescent="0.25">
      <c r="A362" s="121"/>
      <c r="B362" s="23"/>
      <c r="C362" s="59" t="s">
        <v>31</v>
      </c>
      <c r="D362" s="68"/>
      <c r="E362" s="43"/>
      <c r="F362" s="480"/>
      <c r="G362" s="484"/>
      <c r="H362" s="656" t="s">
        <v>43</v>
      </c>
      <c r="I362" s="656"/>
      <c r="J362" s="92">
        <v>0</v>
      </c>
      <c r="K362" s="92"/>
      <c r="L362" s="24"/>
      <c r="M362" s="24"/>
      <c r="N362" s="25"/>
      <c r="O362" s="197"/>
    </row>
    <row r="363" spans="1:17" ht="15.95" customHeight="1" x14ac:dyDescent="0.25">
      <c r="A363" s="121"/>
      <c r="B363" s="23"/>
      <c r="C363" s="59" t="s">
        <v>32</v>
      </c>
      <c r="D363" s="68"/>
      <c r="E363" s="44"/>
      <c r="F363" s="480"/>
      <c r="G363" s="484"/>
      <c r="H363" s="657"/>
      <c r="I363" s="657"/>
      <c r="J363" s="392"/>
      <c r="K363" s="24"/>
      <c r="L363" s="33"/>
      <c r="M363" s="33"/>
      <c r="N363" s="25"/>
      <c r="O363" s="197"/>
      <c r="P363" s="37"/>
    </row>
    <row r="364" spans="1:17" ht="15.95" customHeight="1" x14ac:dyDescent="0.25">
      <c r="A364" s="121"/>
      <c r="B364" s="23"/>
      <c r="C364" s="59" t="s">
        <v>80</v>
      </c>
      <c r="D364" s="68">
        <v>8.3400000000000002E-2</v>
      </c>
      <c r="E364" s="24"/>
      <c r="F364" s="480"/>
      <c r="G364" s="484"/>
      <c r="H364" s="24"/>
      <c r="I364" s="24"/>
      <c r="J364" s="24"/>
      <c r="K364" s="24"/>
      <c r="L364" s="24"/>
      <c r="M364" s="24"/>
      <c r="N364" s="25"/>
      <c r="O364" s="197"/>
    </row>
    <row r="365" spans="1:17" ht="15.95" customHeight="1" x14ac:dyDescent="0.25">
      <c r="A365" s="121"/>
      <c r="B365" s="23"/>
      <c r="C365" s="59" t="s">
        <v>81</v>
      </c>
      <c r="D365" s="68">
        <v>8.3000000000000004E-2</v>
      </c>
      <c r="E365" s="24"/>
      <c r="F365" s="480"/>
      <c r="G365" s="485"/>
      <c r="H365" s="638" t="s">
        <v>44</v>
      </c>
      <c r="I365" s="639"/>
      <c r="J365" s="639"/>
      <c r="K365" s="639"/>
      <c r="L365" s="639"/>
      <c r="M365" s="640"/>
      <c r="N365" s="25"/>
      <c r="O365" s="195"/>
    </row>
    <row r="366" spans="1:17" ht="15.95" customHeight="1" x14ac:dyDescent="0.25">
      <c r="A366" s="121"/>
      <c r="B366" s="23"/>
      <c r="C366" s="60"/>
      <c r="D366" s="119"/>
      <c r="E366" s="24"/>
      <c r="F366" s="480"/>
      <c r="G366" s="485"/>
      <c r="H366" s="23"/>
      <c r="I366" s="24"/>
      <c r="J366" s="24"/>
      <c r="K366" s="24"/>
      <c r="L366" s="24"/>
      <c r="M366" s="25"/>
      <c r="N366" s="25"/>
      <c r="O366" s="195"/>
    </row>
    <row r="367" spans="1:17" ht="15.95" customHeight="1" x14ac:dyDescent="0.25">
      <c r="A367" s="121"/>
      <c r="B367" s="23"/>
      <c r="C367" s="24"/>
      <c r="D367" s="24"/>
      <c r="E367" s="24"/>
      <c r="F367" s="480"/>
      <c r="G367" s="485"/>
      <c r="H367" s="23"/>
      <c r="I367" s="24"/>
      <c r="J367" s="24"/>
      <c r="K367" s="24"/>
      <c r="L367" s="24"/>
      <c r="M367" s="25"/>
      <c r="N367" s="25"/>
      <c r="O367" s="195"/>
    </row>
    <row r="368" spans="1:17" ht="15.95" customHeight="1" x14ac:dyDescent="0.25">
      <c r="A368" s="121"/>
      <c r="B368" s="23"/>
      <c r="C368" s="24"/>
      <c r="D368" s="24"/>
      <c r="E368" s="24"/>
      <c r="F368" s="480"/>
      <c r="G368" s="485"/>
      <c r="H368" s="96"/>
      <c r="I368" s="35"/>
      <c r="J368" s="24"/>
      <c r="K368" s="24"/>
      <c r="L368" s="24"/>
      <c r="M368" s="25"/>
      <c r="N368" s="25"/>
      <c r="O368" s="195"/>
    </row>
    <row r="369" spans="1:15" ht="15.95" customHeight="1" x14ac:dyDescent="0.25">
      <c r="A369" s="121"/>
      <c r="B369" s="23"/>
      <c r="C369" s="24"/>
      <c r="D369" s="24"/>
      <c r="E369" s="24"/>
      <c r="F369" s="480"/>
      <c r="G369" s="485"/>
      <c r="H369" s="23"/>
      <c r="I369" s="24"/>
      <c r="J369" s="24"/>
      <c r="K369" s="24"/>
      <c r="L369" s="24"/>
      <c r="M369" s="25"/>
      <c r="N369" s="25"/>
      <c r="O369" s="195"/>
    </row>
    <row r="370" spans="1:15" ht="15.95" customHeight="1" x14ac:dyDescent="0.25">
      <c r="A370" s="121"/>
      <c r="B370" s="23"/>
      <c r="C370" s="24"/>
      <c r="D370" s="24"/>
      <c r="E370" s="24"/>
      <c r="F370" s="480"/>
      <c r="G370" s="485"/>
      <c r="H370" s="23"/>
      <c r="I370" s="24"/>
      <c r="J370" s="24"/>
      <c r="K370" s="24"/>
      <c r="L370" s="24"/>
      <c r="M370" s="25"/>
      <c r="N370" s="25"/>
      <c r="O370" s="195"/>
    </row>
    <row r="371" spans="1:15" ht="15.95" customHeight="1" x14ac:dyDescent="0.25">
      <c r="A371" s="121"/>
      <c r="B371" s="23"/>
      <c r="C371" s="24"/>
      <c r="D371" s="24"/>
      <c r="E371" s="24"/>
      <c r="F371" s="480"/>
      <c r="G371" s="485"/>
      <c r="H371" s="23"/>
      <c r="I371" s="24"/>
      <c r="J371" s="24"/>
      <c r="K371" s="24"/>
      <c r="L371" s="24"/>
      <c r="M371" s="25"/>
      <c r="N371" s="25"/>
      <c r="O371" s="195"/>
    </row>
    <row r="372" spans="1:15" ht="15.95" customHeight="1" x14ac:dyDescent="0.25">
      <c r="A372" s="121"/>
      <c r="B372" s="23"/>
      <c r="C372" s="24"/>
      <c r="D372" s="24"/>
      <c r="E372" s="24"/>
      <c r="F372" s="480"/>
      <c r="G372" s="485"/>
      <c r="H372" s="23"/>
      <c r="I372" s="24"/>
      <c r="J372" s="24"/>
      <c r="K372" s="24"/>
      <c r="L372" s="24"/>
      <c r="M372" s="25"/>
      <c r="N372" s="25"/>
      <c r="O372" s="195"/>
    </row>
    <row r="373" spans="1:15" ht="15.95" customHeight="1" x14ac:dyDescent="0.25">
      <c r="A373" s="121"/>
      <c r="B373" s="23"/>
      <c r="C373" s="24"/>
      <c r="D373" s="24"/>
      <c r="E373" s="24"/>
      <c r="F373" s="480"/>
      <c r="G373" s="485"/>
      <c r="H373" s="23"/>
      <c r="I373" s="24"/>
      <c r="J373" s="24"/>
      <c r="K373" s="24"/>
      <c r="L373" s="24"/>
      <c r="M373" s="25"/>
      <c r="N373" s="25"/>
      <c r="O373" s="195"/>
    </row>
    <row r="374" spans="1:15" ht="15.95" customHeight="1" x14ac:dyDescent="0.25">
      <c r="A374" s="121"/>
      <c r="B374" s="23"/>
      <c r="C374" s="24"/>
      <c r="D374" s="24"/>
      <c r="E374" s="24"/>
      <c r="F374" s="480"/>
      <c r="G374" s="485"/>
      <c r="H374" s="23"/>
      <c r="I374" s="24"/>
      <c r="J374" s="24"/>
      <c r="K374" s="24"/>
      <c r="L374" s="24"/>
      <c r="M374" s="25"/>
      <c r="N374" s="25"/>
      <c r="O374" s="195"/>
    </row>
    <row r="375" spans="1:15" ht="15.95" customHeight="1" x14ac:dyDescent="0.25">
      <c r="A375" s="121"/>
      <c r="B375" s="23"/>
      <c r="C375" s="24"/>
      <c r="D375" s="24"/>
      <c r="E375" s="24"/>
      <c r="F375" s="480"/>
      <c r="G375" s="485"/>
      <c r="H375" s="23"/>
      <c r="I375" s="24"/>
      <c r="J375" s="24"/>
      <c r="K375" s="24"/>
      <c r="L375" s="24"/>
      <c r="M375" s="25"/>
      <c r="N375" s="25"/>
      <c r="O375" s="195"/>
    </row>
    <row r="376" spans="1:15" ht="15.95" customHeight="1" x14ac:dyDescent="0.25">
      <c r="A376" s="121"/>
      <c r="B376" s="23"/>
      <c r="C376" s="24"/>
      <c r="D376" s="24"/>
      <c r="E376" s="24"/>
      <c r="F376" s="480"/>
      <c r="G376" s="485"/>
      <c r="H376" s="23"/>
      <c r="I376" s="24"/>
      <c r="J376" s="24"/>
      <c r="K376" s="24"/>
      <c r="L376" s="24"/>
      <c r="M376" s="25"/>
      <c r="N376" s="25"/>
      <c r="O376" s="195"/>
    </row>
    <row r="377" spans="1:15" ht="15.95" customHeight="1" x14ac:dyDescent="0.25">
      <c r="A377" s="121"/>
      <c r="B377" s="23"/>
      <c r="C377" s="24"/>
      <c r="D377" s="24"/>
      <c r="E377" s="24"/>
      <c r="F377" s="480"/>
      <c r="G377" s="485"/>
      <c r="H377" s="23"/>
      <c r="I377" s="24"/>
      <c r="J377" s="24"/>
      <c r="K377" s="24"/>
      <c r="L377" s="24"/>
      <c r="M377" s="25"/>
      <c r="N377" s="25"/>
      <c r="O377" s="195"/>
    </row>
    <row r="378" spans="1:15" ht="20.100000000000001" customHeight="1" x14ac:dyDescent="0.25">
      <c r="A378" s="121"/>
      <c r="B378" s="23"/>
      <c r="C378" s="24"/>
      <c r="D378" s="24"/>
      <c r="E378" s="24"/>
      <c r="F378" s="480"/>
      <c r="G378" s="485"/>
      <c r="H378" s="26"/>
      <c r="I378" s="27"/>
      <c r="J378" s="27"/>
      <c r="K378" s="27"/>
      <c r="L378" s="27"/>
      <c r="M378" s="28"/>
      <c r="N378" s="25"/>
      <c r="O378" s="195"/>
    </row>
    <row r="379" spans="1:15" ht="15.95" customHeight="1" x14ac:dyDescent="0.25">
      <c r="A379" s="121"/>
      <c r="B379" s="26"/>
      <c r="C379" s="27"/>
      <c r="D379" s="27"/>
      <c r="E379" s="27"/>
      <c r="F379" s="481"/>
      <c r="G379" s="486"/>
      <c r="H379" s="27"/>
      <c r="I379" s="27"/>
      <c r="J379" s="27"/>
      <c r="K379" s="27"/>
      <c r="L379" s="27"/>
      <c r="M379" s="27"/>
      <c r="N379" s="28"/>
      <c r="O379" s="195"/>
    </row>
    <row r="380" spans="1:15" ht="15.95" customHeight="1" x14ac:dyDescent="0.25">
      <c r="A380" s="121"/>
      <c r="B380" s="23"/>
      <c r="C380" s="24"/>
      <c r="D380" s="24"/>
      <c r="E380" s="24"/>
      <c r="F380" s="480"/>
      <c r="G380" s="480"/>
      <c r="H380" s="24"/>
      <c r="I380" s="24"/>
      <c r="J380" s="24"/>
      <c r="K380" s="24"/>
      <c r="L380" s="24"/>
      <c r="M380" s="24"/>
      <c r="N380" s="25"/>
      <c r="O380" s="194" t="str">
        <f>+D422</f>
        <v>ON Pyme CNV Garantizada</v>
      </c>
    </row>
    <row r="381" spans="1:15" ht="15.95" customHeight="1" x14ac:dyDescent="0.25">
      <c r="A381" s="121"/>
      <c r="B381" s="661" t="s">
        <v>85</v>
      </c>
      <c r="C381" s="662"/>
      <c r="D381" s="662"/>
      <c r="E381" s="662"/>
      <c r="F381" s="662"/>
      <c r="G381" s="662"/>
      <c r="H381" s="662"/>
      <c r="I381" s="662"/>
      <c r="J381" s="662"/>
      <c r="K381" s="662"/>
      <c r="L381" s="662"/>
      <c r="M381" s="662"/>
      <c r="N381" s="663"/>
      <c r="O381" s="195"/>
    </row>
    <row r="382" spans="1:15" ht="15.95" customHeight="1" x14ac:dyDescent="0.25">
      <c r="A382" s="121"/>
      <c r="B382" s="23"/>
      <c r="C382" s="24"/>
      <c r="D382" s="24"/>
      <c r="E382" s="24"/>
      <c r="F382" s="483"/>
      <c r="G382" s="484"/>
      <c r="H382" s="31"/>
      <c r="I382" s="31"/>
      <c r="J382" s="24"/>
      <c r="K382" s="24"/>
      <c r="L382" s="24"/>
      <c r="M382" s="24"/>
      <c r="N382" s="25"/>
      <c r="O382" s="194" t="str">
        <f>+IF(J420="vencida",IF(D422='Reporte - Oscuro'!$C$40,'Reporte - Oscuro'!$C$40&amp;" vencida",IF(D422='Reporte - Oscuro'!$C$41,'Reporte - Oscuro'!$C$41&amp;" vencida",IF(D422='Reporte - Oscuro'!$C$42,'Reporte - Oscuro'!$C$42&amp;" vencida",'Reporte - Oscuro'!$C$43&amp;" vencida"))),D422&amp;" vigente")</f>
        <v>ON Pyme CNV Garantizada vencida</v>
      </c>
    </row>
    <row r="383" spans="1:15" ht="15.95" customHeight="1" x14ac:dyDescent="0.25">
      <c r="A383" s="121"/>
      <c r="B383" s="23"/>
      <c r="C383" s="638" t="s">
        <v>37</v>
      </c>
      <c r="D383" s="639"/>
      <c r="E383" s="640"/>
      <c r="F383" s="483"/>
      <c r="G383" s="484"/>
      <c r="H383" s="641" t="s">
        <v>28</v>
      </c>
      <c r="I383" s="642"/>
      <c r="J383" s="39">
        <f t="array" ref="J383">+$D$403-SUMIF($H$389:$H$395,"&lt;"&amp;$M$4,$K$389:$K$395)</f>
        <v>0</v>
      </c>
      <c r="K383" s="24"/>
      <c r="L383" s="24"/>
      <c r="M383" s="24"/>
      <c r="N383" s="25"/>
      <c r="O383" s="195"/>
    </row>
    <row r="384" spans="1:15" ht="15.95" customHeight="1" x14ac:dyDescent="0.25">
      <c r="A384" s="121"/>
      <c r="B384" s="23"/>
      <c r="C384" s="58"/>
      <c r="D384" s="664"/>
      <c r="E384" s="665"/>
      <c r="F384" s="483"/>
      <c r="G384" s="484"/>
      <c r="H384" s="645" t="s">
        <v>29</v>
      </c>
      <c r="I384" s="646"/>
      <c r="J384" s="40">
        <f>+$D$402</f>
        <v>44416</v>
      </c>
      <c r="K384" s="24"/>
      <c r="L384" s="24"/>
      <c r="M384" s="24"/>
      <c r="N384" s="25"/>
      <c r="O384" s="195"/>
    </row>
    <row r="385" spans="1:17" ht="15.95" customHeight="1" x14ac:dyDescent="0.25">
      <c r="A385" s="121"/>
      <c r="B385" s="23"/>
      <c r="C385" s="59" t="s">
        <v>25</v>
      </c>
      <c r="D385" s="658"/>
      <c r="E385" s="659"/>
      <c r="F385" s="483"/>
      <c r="G385" s="484"/>
      <c r="H385" s="649" t="s">
        <v>30</v>
      </c>
      <c r="I385" s="650"/>
      <c r="J385" s="42" t="str">
        <f t="array" ref="J385">+IF(H394&gt;=$M$4,MIN(IF($H$389:$H$395&gt;$M$4,$H$389:$H$395,"")),"vencida")</f>
        <v>vencida</v>
      </c>
      <c r="K385" s="24"/>
      <c r="L385" s="24"/>
      <c r="M385" s="24"/>
      <c r="N385" s="25"/>
      <c r="O385" s="195"/>
    </row>
    <row r="386" spans="1:17" ht="15.95" customHeight="1" x14ac:dyDescent="0.25">
      <c r="A386" s="121"/>
      <c r="B386" s="23"/>
      <c r="C386" s="59" t="s">
        <v>6</v>
      </c>
      <c r="D386" s="658" t="s">
        <v>86</v>
      </c>
      <c r="E386" s="659"/>
      <c r="F386" s="483"/>
      <c r="G386" s="484"/>
      <c r="H386" s="24"/>
      <c r="I386" s="24"/>
      <c r="J386" s="24"/>
      <c r="K386" s="24"/>
      <c r="L386" s="24"/>
      <c r="M386" s="24"/>
      <c r="N386" s="25"/>
      <c r="O386" s="195"/>
    </row>
    <row r="387" spans="1:17" ht="15.95" customHeight="1" x14ac:dyDescent="0.25">
      <c r="A387" s="121"/>
      <c r="B387" s="23"/>
      <c r="C387" s="59" t="s">
        <v>8</v>
      </c>
      <c r="D387" s="658" t="s">
        <v>17</v>
      </c>
      <c r="E387" s="659"/>
      <c r="F387" s="483"/>
      <c r="G387" s="484"/>
      <c r="H387" s="651" t="s">
        <v>41</v>
      </c>
      <c r="I387" s="652"/>
      <c r="J387" s="652"/>
      <c r="K387" s="652"/>
      <c r="L387" s="653"/>
      <c r="M387" s="24"/>
      <c r="N387" s="25"/>
      <c r="O387" s="197">
        <f>+M425</f>
        <v>-4000000</v>
      </c>
      <c r="P387" s="197">
        <f>-M425</f>
        <v>4000000</v>
      </c>
      <c r="Q387" s="197"/>
    </row>
    <row r="388" spans="1:17" ht="15.95" customHeight="1" x14ac:dyDescent="0.25">
      <c r="A388" s="121"/>
      <c r="B388" s="23"/>
      <c r="C388" s="59" t="s">
        <v>33</v>
      </c>
      <c r="D388" s="73" t="s">
        <v>325</v>
      </c>
      <c r="E388" s="273">
        <v>3.85E-2</v>
      </c>
      <c r="F388" s="483">
        <f>+E388*$J$383</f>
        <v>0</v>
      </c>
      <c r="G388" s="484"/>
      <c r="H388" s="81" t="s">
        <v>0</v>
      </c>
      <c r="I388" s="82" t="s">
        <v>2</v>
      </c>
      <c r="J388" s="82" t="s">
        <v>3</v>
      </c>
      <c r="K388" s="82" t="s">
        <v>4</v>
      </c>
      <c r="L388" s="83" t="s">
        <v>5</v>
      </c>
      <c r="M388" s="82" t="s">
        <v>44</v>
      </c>
      <c r="N388" s="25"/>
      <c r="O388" s="197">
        <f t="shared" ref="O388:O393" si="44">+M426+O387</f>
        <v>-2800875</v>
      </c>
      <c r="P388" s="197">
        <f t="shared" ref="P388:P393" si="45">+(M426/(1+$J$435)^((H426-$H$425)/365))/$P$387</f>
        <v>0.29978125</v>
      </c>
      <c r="Q388" s="197">
        <f t="shared" ref="Q388:Q393" si="46">+P388*((H426-$H$425)/365)</f>
        <v>0.14865864726027397</v>
      </c>
    </row>
    <row r="389" spans="1:17" ht="15.95" customHeight="1" x14ac:dyDescent="0.25">
      <c r="A389" s="121"/>
      <c r="B389" s="23"/>
      <c r="C389" s="278" t="s">
        <v>33</v>
      </c>
      <c r="D389" s="73" t="s">
        <v>308</v>
      </c>
      <c r="E389" s="273">
        <v>0.76919999999999999</v>
      </c>
      <c r="F389" s="483">
        <f>+E389*$J$383</f>
        <v>0</v>
      </c>
      <c r="G389" s="484"/>
      <c r="H389" s="45"/>
      <c r="I389" s="46"/>
      <c r="J389" s="46"/>
      <c r="K389" s="46"/>
      <c r="L389" s="47"/>
      <c r="M389" s="23"/>
      <c r="N389" s="25"/>
      <c r="O389" s="197">
        <f t="shared" si="44"/>
        <v>-534458.33333333349</v>
      </c>
      <c r="P389" s="197">
        <f t="shared" si="45"/>
        <v>0.56660416666666658</v>
      </c>
      <c r="Q389" s="197">
        <f t="shared" si="46"/>
        <v>0.56660416666666658</v>
      </c>
    </row>
    <row r="390" spans="1:17" ht="15.95" customHeight="1" x14ac:dyDescent="0.25">
      <c r="A390" s="121"/>
      <c r="B390" s="23"/>
      <c r="C390" s="278" t="s">
        <v>33</v>
      </c>
      <c r="D390" s="73" t="s">
        <v>309</v>
      </c>
      <c r="E390" s="273">
        <v>0.1923</v>
      </c>
      <c r="F390" s="483">
        <f>+E390*$J$383</f>
        <v>0</v>
      </c>
      <c r="G390" s="484"/>
      <c r="H390" s="48">
        <f>+$D$401</f>
        <v>43685</v>
      </c>
      <c r="I390" s="70"/>
      <c r="J390" s="49"/>
      <c r="K390" s="49"/>
      <c r="L390" s="50">
        <f>+D403</f>
        <v>21600000</v>
      </c>
      <c r="M390" s="93">
        <f>-L390</f>
        <v>-21600000</v>
      </c>
      <c r="N390" s="25"/>
      <c r="O390" s="197">
        <f t="shared" si="44"/>
        <v>88322.916666666511</v>
      </c>
      <c r="P390" s="197">
        <f t="shared" si="45"/>
        <v>0.15569531249999999</v>
      </c>
      <c r="Q390" s="197">
        <f t="shared" si="46"/>
        <v>0.23332968749999997</v>
      </c>
    </row>
    <row r="391" spans="1:17" ht="15.95" customHeight="1" x14ac:dyDescent="0.25">
      <c r="A391" s="121"/>
      <c r="B391" s="23"/>
      <c r="C391" s="59" t="s">
        <v>34</v>
      </c>
      <c r="D391" s="658" t="s">
        <v>48</v>
      </c>
      <c r="E391" s="659"/>
      <c r="F391" s="483"/>
      <c r="G391" s="484"/>
      <c r="H391" s="51">
        <f>IF(DAY(H390)=DAY($H$390),IF(WEEKDAY(EDATE(H390,$D$404),3)&lt;5,EDATE(H390,$D$404),WORKDAY(EDATE(H390,$D$404),1)),IF(WEEKDAY(EDATE($H$390,$D$404*COUNT($H$390:H390)),3)&lt;5,EDATE($H$390,$D$404*COUNT($H$390:H390)),WORKDAY(EDATE($H$390,$D$404*COUNT($H$390:H390)),1)))</f>
        <v>43871</v>
      </c>
      <c r="I391" s="71" t="s">
        <v>13</v>
      </c>
      <c r="J391" s="52">
        <f>(IF(AND($D$407&lt;&gt;"",$D$407&gt;(AVERAGE(VLOOKUP(WORKDAY.INTL(H391,-7,1,),'Tasas-TC'!A:B,2,FALSE),VLOOKUP(WORKDAY.INTL(H390,-7,1,),'Tasas-TC'!A:B,2,FALSE))+$D$406)),$D$407,IF(AND($D$408&lt;&gt;"",$D$408&lt;(AVERAGE(VLOOKUP(WORKDAY.INTL(H391,-7,1,),'Tasas-TC'!A:B,2,FALSE),VLOOKUP(WORKDAY.INTL(H390,-7,1,),'Tasas-TC'!A:B,2,FALSE))+$D$406)),$D$408,(AVERAGE(VLOOKUP(WORKDAY.INTL(H391,-7,1,),'Tasas-TC'!A:B,2,FALSE),VLOOKUP(WORKDAY.INTL(H390,-7,1,),'Tasas-TC'!A:B,2,FALSE))+$D$406)))/360)*(H391-H390)*L390</f>
        <v>5604412.5</v>
      </c>
      <c r="K391" s="52">
        <f>+IF(OR(I391="A + C",I391="A"),$D$403*$D$409,0)</f>
        <v>2160000</v>
      </c>
      <c r="L391" s="53">
        <f>+L390-K391</f>
        <v>19440000</v>
      </c>
      <c r="M391" s="94">
        <f>+J391+K391</f>
        <v>7764412.5</v>
      </c>
      <c r="N391" s="25"/>
      <c r="O391" s="197">
        <f t="shared" si="44"/>
        <v>1903506.25</v>
      </c>
      <c r="P391" s="197">
        <f t="shared" si="45"/>
        <v>0.4537958333333334</v>
      </c>
      <c r="Q391" s="197">
        <f t="shared" si="46"/>
        <v>0.9100782191780824</v>
      </c>
    </row>
    <row r="392" spans="1:17" ht="15.95" customHeight="1" x14ac:dyDescent="0.25">
      <c r="A392" s="121"/>
      <c r="B392" s="23"/>
      <c r="C392" s="79" t="s">
        <v>38</v>
      </c>
      <c r="D392" s="75"/>
      <c r="E392" s="76"/>
      <c r="F392" s="483"/>
      <c r="G392" s="484"/>
      <c r="H392" s="51">
        <f>IF(DAY(H391)=DAY($H$390),IF(WEEKDAY(EDATE(H391,$D$404),3)&lt;5,EDATE(H391,$D$404),WORKDAY(EDATE(H391,$D$404),1)),IF(WEEKDAY(EDATE($H$390,$D$404*COUNT($H$390:H391)),3)&lt;5,EDATE($H$390,$D$404*COUNT($H$390:H391)),WORKDAY(EDATE($H$390,$D$404*COUNT($H$390:H391)),1)))</f>
        <v>44053</v>
      </c>
      <c r="I392" s="71" t="s">
        <v>13</v>
      </c>
      <c r="J392" s="52">
        <f>(IF(AND($D$407&lt;&gt;"",$D$407&gt;(AVERAGE(VLOOKUP(WORKDAY.INTL(H392,-7,1,),'Tasas-TC'!A:B,2,FALSE),VLOOKUP(WORKDAY.INTL(H391,-7,1,),'Tasas-TC'!A:B,2,FALSE))+$D$406)),$D$407,IF(AND($D$408&lt;&gt;"",$D$408&lt;(AVERAGE(VLOOKUP(WORKDAY.INTL(H392,-7,1,),'Tasas-TC'!A:B,2,FALSE),VLOOKUP(WORKDAY.INTL(H391,-7,1,),'Tasas-TC'!A:B,2,FALSE))+$D$406)),$D$408,(AVERAGE(VLOOKUP(WORKDAY.INTL(H392,-7,1,),'Tasas-TC'!A:B,2,FALSE),VLOOKUP(WORKDAY.INTL(H391,-7,1,),'Tasas-TC'!A:B,2,FALSE))+$D$406)))/360)*(H392-H391)*L391</f>
        <v>3928128.7500000005</v>
      </c>
      <c r="K392" s="52">
        <f>+IF(OR(I392="A + C",I392="A"),$D$403*$D$409,0)</f>
        <v>2160000</v>
      </c>
      <c r="L392" s="53">
        <f>+L391-K392</f>
        <v>17280000</v>
      </c>
      <c r="M392" s="94">
        <f>+J392+K392</f>
        <v>6088128.75</v>
      </c>
      <c r="N392" s="25"/>
      <c r="O392" s="197">
        <f t="shared" si="44"/>
        <v>2234645.138888889</v>
      </c>
      <c r="P392" s="197">
        <f t="shared" si="45"/>
        <v>8.2784722222222218E-2</v>
      </c>
      <c r="Q392" s="197">
        <f t="shared" si="46"/>
        <v>0.20730201674277016</v>
      </c>
    </row>
    <row r="393" spans="1:17" ht="15.95" customHeight="1" x14ac:dyDescent="0.25">
      <c r="A393" s="121"/>
      <c r="B393" s="23"/>
      <c r="C393" s="59"/>
      <c r="D393" s="73"/>
      <c r="E393" s="74"/>
      <c r="F393" s="483"/>
      <c r="G393" s="484"/>
      <c r="H393" s="51">
        <f>IF(DAY(H392)=DAY($H$390),IF(WEEKDAY(EDATE(H392,$D$404),3)&lt;5,EDATE(H392,$D$404),WORKDAY(EDATE(H392,$D$404),1)),IF(WEEKDAY(EDATE($H$390,$D$404*COUNT($H$390:H392)),3)&lt;5,EDATE($H$390,$D$404*COUNT($H$390:H392)),WORKDAY(EDATE($H$390,$D$404*COUNT($H$390:H392)),1)))</f>
        <v>44235</v>
      </c>
      <c r="I393" s="71" t="s">
        <v>13</v>
      </c>
      <c r="J393" s="52">
        <f>(IF(AND($D$407&lt;&gt;"",$D$407&gt;(AVERAGE(VLOOKUP(WORKDAY.INTL(H393,-7,1,),'Tasas-TC'!A:B,2,FALSE),VLOOKUP(WORKDAY.INTL(H392,-7,1,),'Tasas-TC'!A:B,2,FALSE))+$D$406)),$D$407,IF(AND($D$408&lt;&gt;"",$D$408&lt;(AVERAGE(VLOOKUP(WORKDAY.INTL(H393,-7,1,),'Tasas-TC'!A:B,2,FALSE),VLOOKUP(WORKDAY.INTL(H392,-7,1,),'Tasas-TC'!A:B,2,FALSE))+$D$406)),$D$408,(AVERAGE(VLOOKUP(WORKDAY.INTL(H393,-7,1,),'Tasas-TC'!A:B,2,FALSE),VLOOKUP(WORKDAY.INTL(H392,-7,1,),'Tasas-TC'!A:B,2,FALSE))+$D$406)))/360)*(H393-H392)*L392</f>
        <v>3486210</v>
      </c>
      <c r="K393" s="52">
        <f>+IF(OR(I393="A + C",I393="A"),$D$403*$D$410,0)</f>
        <v>8640000</v>
      </c>
      <c r="L393" s="53">
        <f>+L392-K393</f>
        <v>8640000</v>
      </c>
      <c r="M393" s="94">
        <f>+J393+K393</f>
        <v>12126210</v>
      </c>
      <c r="N393" s="25"/>
      <c r="O393" s="197">
        <f t="shared" si="44"/>
        <v>4175642.361111111</v>
      </c>
      <c r="P393" s="197">
        <f t="shared" si="45"/>
        <v>0.48524930555555557</v>
      </c>
      <c r="Q393" s="197">
        <f t="shared" si="46"/>
        <v>1.4570773668188737</v>
      </c>
    </row>
    <row r="394" spans="1:17" ht="15.95" customHeight="1" x14ac:dyDescent="0.25">
      <c r="A394" s="121"/>
      <c r="B394" s="32"/>
      <c r="C394" s="60"/>
      <c r="D394" s="77"/>
      <c r="E394" s="78"/>
      <c r="F394" s="483"/>
      <c r="G394" s="484"/>
      <c r="H394" s="51">
        <f>IF(DAY(H393)=DAY($H$390),IF(WEEKDAY(EDATE(H393,$D$404),3)&lt;5,EDATE(H393,$D$404),WORKDAY(EDATE(H393,$D$404),1)),IF(WEEKDAY(EDATE($H$390,$D$404*COUNT($H$390:H393)),3)&lt;5,EDATE($H$390,$D$404*COUNT($H$390:H393)),WORKDAY(EDATE($H$390,$D$404*COUNT($H$390:H393)),1)))</f>
        <v>44417</v>
      </c>
      <c r="I394" s="71" t="s">
        <v>13</v>
      </c>
      <c r="J394" s="52">
        <f>(IF(AND($D$407&lt;&gt;"",$D$407&gt;(AVERAGE(VLOOKUP(WORKDAY.INTL(H394,-7,1,),'Tasas-TC'!A:B,2,FALSE),VLOOKUP(WORKDAY.INTL(H393,-7,1,),'Tasas-TC'!A:B,2,FALSE))+$D$406)),$D$407,IF(AND($D$408&lt;&gt;"",$D$408&lt;(AVERAGE(VLOOKUP(WORKDAY.INTL(H394,-7,1,),'Tasas-TC'!A:B,2,FALSE),VLOOKUP(WORKDAY.INTL(H393,-7,1,),'Tasas-TC'!A:B,2,FALSE))+$D$406)),$D$408,(AVERAGE(VLOOKUP(WORKDAY.INTL(H394,-7,1,),'Tasas-TC'!A:B,2,FALSE),VLOOKUP(WORKDAY.INTL(H393,-7,1,),'Tasas-TC'!A:B,2,FALSE))+$D$406)))/360)*(H394-H393)*L393</f>
        <v>1841385.0000000002</v>
      </c>
      <c r="K394" s="52">
        <f>+IF(OR(I394="A + C",I394="A"),$D$403*$D$410,0)</f>
        <v>8640000</v>
      </c>
      <c r="L394" s="53">
        <f>+L393-K394</f>
        <v>0</v>
      </c>
      <c r="M394" s="94">
        <f>+J394+K394</f>
        <v>10481385</v>
      </c>
      <c r="N394" s="25"/>
      <c r="O394" s="197"/>
      <c r="P394" s="29"/>
    </row>
    <row r="395" spans="1:17" ht="15.95" customHeight="1" x14ac:dyDescent="0.25">
      <c r="A395" s="121"/>
      <c r="B395" s="23"/>
      <c r="C395" s="60"/>
      <c r="D395" s="61" t="str">
        <f>+B381</f>
        <v>Bertotto Boglione I</v>
      </c>
      <c r="E395" s="270"/>
      <c r="F395" s="483"/>
      <c r="G395" s="484">
        <f>+J383</f>
        <v>0</v>
      </c>
      <c r="H395" s="54"/>
      <c r="I395" s="61"/>
      <c r="J395" s="55"/>
      <c r="K395" s="56"/>
      <c r="L395" s="57"/>
      <c r="M395" s="95"/>
      <c r="N395" s="25"/>
      <c r="O395" s="197"/>
      <c r="P395" s="29"/>
    </row>
    <row r="396" spans="1:17" ht="15.95" customHeight="1" x14ac:dyDescent="0.25">
      <c r="A396" s="121"/>
      <c r="B396" s="23"/>
      <c r="D396" s="271"/>
      <c r="E396" s="272"/>
      <c r="F396" s="483"/>
      <c r="G396" s="484"/>
      <c r="H396" s="24"/>
      <c r="I396" s="24"/>
      <c r="J396" s="24"/>
      <c r="K396" s="24"/>
      <c r="L396" s="24"/>
      <c r="M396" s="24"/>
      <c r="N396" s="25"/>
      <c r="O396" s="197"/>
      <c r="P396" s="29"/>
    </row>
    <row r="397" spans="1:17" ht="15.95" customHeight="1" x14ac:dyDescent="0.25">
      <c r="A397" s="121"/>
      <c r="B397" s="23"/>
      <c r="C397" s="638" t="s">
        <v>36</v>
      </c>
      <c r="D397" s="640"/>
      <c r="E397" s="36"/>
      <c r="F397" s="483"/>
      <c r="G397" s="484"/>
      <c r="H397" s="656" t="s">
        <v>43</v>
      </c>
      <c r="I397" s="656"/>
      <c r="J397" s="92">
        <v>0</v>
      </c>
      <c r="K397" s="92"/>
      <c r="L397" s="24"/>
      <c r="M397" s="24"/>
      <c r="N397" s="25"/>
      <c r="O397" s="197"/>
    </row>
    <row r="398" spans="1:17" ht="15.95" customHeight="1" x14ac:dyDescent="0.25">
      <c r="A398" s="121"/>
      <c r="B398" s="23"/>
      <c r="C398" s="59"/>
      <c r="D398" s="62"/>
      <c r="E398" s="36"/>
      <c r="F398" s="483"/>
      <c r="G398" s="484"/>
      <c r="H398" s="657"/>
      <c r="I398" s="657"/>
      <c r="J398" s="392"/>
      <c r="K398" s="24"/>
      <c r="L398" s="33"/>
      <c r="M398" s="33"/>
      <c r="N398" s="25"/>
      <c r="O398" s="197"/>
      <c r="P398" s="37"/>
    </row>
    <row r="399" spans="1:17" ht="15.95" customHeight="1" x14ac:dyDescent="0.25">
      <c r="A399" s="121"/>
      <c r="B399" s="23"/>
      <c r="C399" s="59" t="s">
        <v>9</v>
      </c>
      <c r="D399" s="98" t="s">
        <v>18</v>
      </c>
      <c r="E399" s="36"/>
      <c r="F399" s="483"/>
      <c r="G399" s="484"/>
      <c r="H399" s="24"/>
      <c r="I399" s="24"/>
      <c r="J399" s="24"/>
      <c r="K399" s="24"/>
      <c r="L399" s="24"/>
      <c r="M399" s="24"/>
      <c r="N399" s="25"/>
      <c r="O399" s="197"/>
    </row>
    <row r="400" spans="1:17" ht="15.95" customHeight="1" x14ac:dyDescent="0.25">
      <c r="A400" s="121"/>
      <c r="B400" s="23"/>
      <c r="C400" s="59" t="s">
        <v>10</v>
      </c>
      <c r="D400" s="65">
        <v>43682</v>
      </c>
      <c r="E400" s="36"/>
      <c r="F400" s="483"/>
      <c r="G400" s="484"/>
      <c r="H400" s="638" t="s">
        <v>44</v>
      </c>
      <c r="I400" s="639"/>
      <c r="J400" s="639"/>
      <c r="K400" s="639"/>
      <c r="L400" s="639"/>
      <c r="M400" s="640"/>
      <c r="N400" s="25"/>
      <c r="O400" s="195"/>
    </row>
    <row r="401" spans="1:15" ht="15.95" customHeight="1" x14ac:dyDescent="0.25">
      <c r="A401" s="121"/>
      <c r="B401" s="23"/>
      <c r="C401" s="59" t="s">
        <v>11</v>
      </c>
      <c r="D401" s="65">
        <v>43685</v>
      </c>
      <c r="E401" s="36"/>
      <c r="F401" s="480"/>
      <c r="G401" s="484"/>
      <c r="H401" s="23"/>
      <c r="I401" s="24"/>
      <c r="J401" s="24"/>
      <c r="K401" s="24"/>
      <c r="L401" s="24"/>
      <c r="M401" s="25"/>
      <c r="N401" s="25"/>
      <c r="O401" s="195"/>
    </row>
    <row r="402" spans="1:15" ht="15.95" customHeight="1" x14ac:dyDescent="0.25">
      <c r="A402" s="121"/>
      <c r="B402" s="23"/>
      <c r="C402" s="59" t="s">
        <v>12</v>
      </c>
      <c r="D402" s="65">
        <v>44416</v>
      </c>
      <c r="E402" s="36"/>
      <c r="F402" s="480"/>
      <c r="G402" s="484"/>
      <c r="H402" s="23"/>
      <c r="I402" s="24"/>
      <c r="J402" s="24"/>
      <c r="K402" s="24"/>
      <c r="L402" s="24"/>
      <c r="M402" s="25"/>
      <c r="N402" s="25"/>
      <c r="O402" s="195"/>
    </row>
    <row r="403" spans="1:15" ht="15.95" customHeight="1" x14ac:dyDescent="0.25">
      <c r="A403" s="121"/>
      <c r="B403" s="23"/>
      <c r="C403" s="59" t="s">
        <v>27</v>
      </c>
      <c r="D403" s="66">
        <v>21600000</v>
      </c>
      <c r="E403" s="41"/>
      <c r="F403" s="480"/>
      <c r="G403" s="484"/>
      <c r="H403" s="96"/>
      <c r="I403" s="35"/>
      <c r="J403" s="24"/>
      <c r="K403" s="24"/>
      <c r="L403" s="24"/>
      <c r="M403" s="25"/>
      <c r="N403" s="25"/>
      <c r="O403" s="195"/>
    </row>
    <row r="404" spans="1:15" ht="15.95" customHeight="1" x14ac:dyDescent="0.25">
      <c r="A404" s="121"/>
      <c r="B404" s="23"/>
      <c r="C404" s="59" t="s">
        <v>26</v>
      </c>
      <c r="D404" s="66">
        <v>6</v>
      </c>
      <c r="E404" s="36"/>
      <c r="F404" s="480"/>
      <c r="G404" s="484"/>
      <c r="H404" s="23"/>
      <c r="I404" s="24"/>
      <c r="J404" s="24"/>
      <c r="K404" s="24"/>
      <c r="L404" s="24"/>
      <c r="M404" s="25"/>
      <c r="N404" s="25"/>
      <c r="O404" s="195"/>
    </row>
    <row r="405" spans="1:15" ht="15.95" customHeight="1" x14ac:dyDescent="0.25">
      <c r="A405" s="121"/>
      <c r="B405" s="23"/>
      <c r="C405" s="59" t="s">
        <v>19</v>
      </c>
      <c r="D405" s="67" t="s">
        <v>20</v>
      </c>
      <c r="E405" s="43"/>
      <c r="F405" s="480"/>
      <c r="G405" s="484"/>
      <c r="H405" s="23"/>
      <c r="I405" s="24"/>
      <c r="J405" s="24"/>
      <c r="K405" s="24"/>
      <c r="L405" s="24"/>
      <c r="M405" s="25"/>
      <c r="N405" s="25"/>
      <c r="O405" s="195"/>
    </row>
    <row r="406" spans="1:15" ht="15.95" customHeight="1" x14ac:dyDescent="0.25">
      <c r="A406" s="121"/>
      <c r="B406" s="23"/>
      <c r="C406" s="59" t="s">
        <v>14</v>
      </c>
      <c r="D406" s="68">
        <v>0.08</v>
      </c>
      <c r="E406" s="43"/>
      <c r="F406" s="480"/>
      <c r="G406" s="484"/>
      <c r="H406" s="23"/>
      <c r="I406" s="24"/>
      <c r="J406" s="24"/>
      <c r="K406" s="24"/>
      <c r="L406" s="24"/>
      <c r="M406" s="25"/>
      <c r="N406" s="25"/>
      <c r="O406" s="195"/>
    </row>
    <row r="407" spans="1:15" ht="15.95" customHeight="1" x14ac:dyDescent="0.25">
      <c r="A407" s="121"/>
      <c r="B407" s="23"/>
      <c r="C407" s="59" t="s">
        <v>31</v>
      </c>
      <c r="D407" s="68"/>
      <c r="E407" s="43"/>
      <c r="F407" s="480"/>
      <c r="G407" s="484"/>
      <c r="H407" s="23"/>
      <c r="I407" s="24"/>
      <c r="J407" s="24"/>
      <c r="K407" s="24"/>
      <c r="L407" s="24"/>
      <c r="M407" s="25"/>
      <c r="N407" s="25"/>
      <c r="O407" s="195"/>
    </row>
    <row r="408" spans="1:15" ht="15.95" customHeight="1" x14ac:dyDescent="0.25">
      <c r="A408" s="121"/>
      <c r="B408" s="23"/>
      <c r="C408" s="59" t="s">
        <v>32</v>
      </c>
      <c r="D408" s="68"/>
      <c r="E408" s="44"/>
      <c r="F408" s="480"/>
      <c r="G408" s="485"/>
      <c r="H408" s="23"/>
      <c r="I408" s="24"/>
      <c r="J408" s="24"/>
      <c r="K408" s="24"/>
      <c r="L408" s="24"/>
      <c r="M408" s="25"/>
      <c r="N408" s="25"/>
      <c r="O408" s="195"/>
    </row>
    <row r="409" spans="1:15" ht="15.95" customHeight="1" x14ac:dyDescent="0.25">
      <c r="A409" s="121"/>
      <c r="B409" s="23"/>
      <c r="C409" s="59" t="s">
        <v>81</v>
      </c>
      <c r="D409" s="68">
        <v>0.1</v>
      </c>
      <c r="E409" s="24"/>
      <c r="F409" s="480"/>
      <c r="G409" s="485"/>
      <c r="H409" s="23"/>
      <c r="I409" s="24"/>
      <c r="J409" s="24"/>
      <c r="K409" s="24"/>
      <c r="L409" s="24"/>
      <c r="M409" s="25"/>
      <c r="N409" s="25"/>
      <c r="O409" s="195"/>
    </row>
    <row r="410" spans="1:15" ht="15.95" customHeight="1" x14ac:dyDescent="0.25">
      <c r="A410" s="121"/>
      <c r="B410" s="23"/>
      <c r="C410" s="59" t="s">
        <v>81</v>
      </c>
      <c r="D410" s="68">
        <v>0.4</v>
      </c>
      <c r="E410" s="24"/>
      <c r="F410" s="480"/>
      <c r="G410" s="485"/>
      <c r="H410" s="23"/>
      <c r="I410" s="24"/>
      <c r="J410" s="24"/>
      <c r="K410" s="24"/>
      <c r="L410" s="24"/>
      <c r="M410" s="25"/>
      <c r="N410" s="25"/>
      <c r="O410" s="195"/>
    </row>
    <row r="411" spans="1:15" ht="15.95" customHeight="1" x14ac:dyDescent="0.25">
      <c r="A411" s="121"/>
      <c r="B411" s="23"/>
      <c r="C411" s="60"/>
      <c r="D411" s="119"/>
      <c r="E411" s="24"/>
      <c r="F411" s="480"/>
      <c r="G411" s="485"/>
      <c r="H411" s="23"/>
      <c r="I411" s="24"/>
      <c r="J411" s="24"/>
      <c r="K411" s="24"/>
      <c r="L411" s="24"/>
      <c r="M411" s="25"/>
      <c r="N411" s="25"/>
      <c r="O411" s="195"/>
    </row>
    <row r="412" spans="1:15" x14ac:dyDescent="0.25">
      <c r="A412" s="121"/>
      <c r="B412" s="23"/>
      <c r="C412" s="24"/>
      <c r="D412" s="24"/>
      <c r="E412" s="24"/>
      <c r="F412" s="480"/>
      <c r="G412" s="485"/>
      <c r="H412" s="23"/>
      <c r="I412" s="24"/>
      <c r="J412" s="24"/>
      <c r="K412" s="24"/>
      <c r="L412" s="24"/>
      <c r="M412" s="25"/>
      <c r="N412" s="25"/>
      <c r="O412" s="195"/>
    </row>
    <row r="413" spans="1:15" x14ac:dyDescent="0.25">
      <c r="A413" s="121"/>
      <c r="B413" s="23"/>
      <c r="C413" s="24"/>
      <c r="D413" s="24"/>
      <c r="E413" s="24"/>
      <c r="F413" s="480"/>
      <c r="G413" s="485"/>
      <c r="H413" s="26"/>
      <c r="I413" s="27"/>
      <c r="J413" s="27"/>
      <c r="K413" s="27"/>
      <c r="L413" s="27"/>
      <c r="M413" s="28"/>
      <c r="N413" s="25"/>
      <c r="O413" s="195"/>
    </row>
    <row r="414" spans="1:15" ht="15.95" customHeight="1" x14ac:dyDescent="0.25">
      <c r="A414" s="121"/>
      <c r="B414" s="26"/>
      <c r="C414" s="27"/>
      <c r="D414" s="27"/>
      <c r="E414" s="27"/>
      <c r="F414" s="481"/>
      <c r="G414" s="486"/>
      <c r="H414" s="27"/>
      <c r="I414" s="27"/>
      <c r="J414" s="27"/>
      <c r="K414" s="27"/>
      <c r="L414" s="27"/>
      <c r="M414" s="27"/>
      <c r="N414" s="28"/>
      <c r="O414" s="195"/>
    </row>
    <row r="415" spans="1:15" ht="20.100000000000001" customHeight="1" x14ac:dyDescent="0.25">
      <c r="A415" s="121"/>
      <c r="B415" s="23"/>
      <c r="C415" s="24"/>
      <c r="D415" s="24"/>
      <c r="E415" s="24"/>
      <c r="F415" s="480"/>
      <c r="G415" s="480"/>
      <c r="H415" s="24"/>
      <c r="I415" s="24"/>
      <c r="J415" s="24"/>
      <c r="K415" s="24"/>
      <c r="L415" s="24"/>
      <c r="M415" s="24"/>
      <c r="N415" s="25"/>
      <c r="O415" s="195"/>
    </row>
    <row r="416" spans="1:15" ht="15.95" customHeight="1" x14ac:dyDescent="0.25">
      <c r="A416" s="121"/>
      <c r="B416" s="661" t="s">
        <v>96</v>
      </c>
      <c r="C416" s="662"/>
      <c r="D416" s="662"/>
      <c r="E416" s="662"/>
      <c r="F416" s="662"/>
      <c r="G416" s="662"/>
      <c r="H416" s="662"/>
      <c r="I416" s="662"/>
      <c r="J416" s="662"/>
      <c r="K416" s="662"/>
      <c r="L416" s="662"/>
      <c r="M416" s="662"/>
      <c r="N416" s="663"/>
      <c r="O416" s="195"/>
    </row>
    <row r="417" spans="1:17" ht="15.95" customHeight="1" x14ac:dyDescent="0.25">
      <c r="A417" s="121"/>
      <c r="B417" s="23"/>
      <c r="C417" s="24"/>
      <c r="D417" s="24"/>
      <c r="E417" s="24"/>
      <c r="F417" s="483"/>
      <c r="G417" s="484"/>
      <c r="H417" s="31"/>
      <c r="I417" s="31"/>
      <c r="J417" s="24"/>
      <c r="K417" s="24"/>
      <c r="L417" s="24"/>
      <c r="M417" s="24"/>
      <c r="N417" s="25"/>
      <c r="O417" s="194" t="str">
        <f>+D459</f>
        <v>ON Pyme CNV Garantizada</v>
      </c>
    </row>
    <row r="418" spans="1:17" ht="15.95" customHeight="1" x14ac:dyDescent="0.25">
      <c r="A418" s="121"/>
      <c r="B418" s="23"/>
      <c r="C418" s="638" t="s">
        <v>37</v>
      </c>
      <c r="D418" s="639"/>
      <c r="E418" s="640"/>
      <c r="F418" s="483"/>
      <c r="G418" s="484"/>
      <c r="H418" s="641" t="s">
        <v>28</v>
      </c>
      <c r="I418" s="642"/>
      <c r="J418" s="39">
        <v>0</v>
      </c>
      <c r="K418" s="24"/>
      <c r="L418" s="24"/>
      <c r="M418" s="24"/>
      <c r="N418" s="25"/>
      <c r="O418" s="195"/>
      <c r="P418" s="29"/>
    </row>
    <row r="419" spans="1:17" ht="15.95" customHeight="1" x14ac:dyDescent="0.25">
      <c r="A419" s="121"/>
      <c r="B419" s="23"/>
      <c r="C419" s="58"/>
      <c r="D419" s="664"/>
      <c r="E419" s="665"/>
      <c r="F419" s="483"/>
      <c r="G419" s="484"/>
      <c r="H419" s="645" t="s">
        <v>29</v>
      </c>
      <c r="I419" s="646"/>
      <c r="J419" s="40">
        <f>+$D$435</f>
        <v>44508</v>
      </c>
      <c r="K419" s="24"/>
      <c r="L419" s="24"/>
      <c r="M419" s="24"/>
      <c r="N419" s="25"/>
      <c r="O419" s="194" t="str">
        <f>+IF(J457="vencida",IF(D459='Reporte - Oscuro'!$C$40,'Reporte - Oscuro'!$C$40&amp;" vencida",IF(D459='Reporte - Oscuro'!$C$41,'Reporte - Oscuro'!$C$41&amp;" vencida",IF(D459='Reporte - Oscuro'!$C$42,'Reporte - Oscuro'!$C$42&amp;" vencida",'Reporte - Oscuro'!$C$43&amp;" vencida"))),D459&amp;" vigente")</f>
        <v>ON Pyme CNV Garantizada vencida</v>
      </c>
      <c r="P419" s="29"/>
    </row>
    <row r="420" spans="1:17" ht="15.95" customHeight="1" x14ac:dyDescent="0.25">
      <c r="A420" s="121"/>
      <c r="B420" s="23"/>
      <c r="C420" s="59" t="s">
        <v>25</v>
      </c>
      <c r="D420" s="658"/>
      <c r="E420" s="659"/>
      <c r="F420" s="483"/>
      <c r="G420" s="484"/>
      <c r="H420" s="649" t="s">
        <v>30</v>
      </c>
      <c r="I420" s="650"/>
      <c r="J420" s="42" t="str">
        <f t="array" ref="J420">+IF(H431&gt;=$M$4,MIN(IF($H$425:$H$431&gt;$M$4,$H$425:$H$431,"")),"vencida")</f>
        <v>vencida</v>
      </c>
      <c r="K420" s="24"/>
      <c r="L420" s="24"/>
      <c r="M420" s="24"/>
      <c r="N420" s="25"/>
      <c r="O420" s="195"/>
      <c r="P420" s="29"/>
    </row>
    <row r="421" spans="1:17" ht="15.95" customHeight="1" x14ac:dyDescent="0.25">
      <c r="A421" s="121"/>
      <c r="B421" s="23"/>
      <c r="C421" s="59" t="s">
        <v>6</v>
      </c>
      <c r="D421" s="658" t="s">
        <v>97</v>
      </c>
      <c r="E421" s="659"/>
      <c r="F421" s="483"/>
      <c r="G421" s="484"/>
      <c r="H421" s="24"/>
      <c r="I421" s="24"/>
      <c r="J421" s="24"/>
      <c r="K421" s="24"/>
      <c r="L421" s="24"/>
      <c r="M421" s="24"/>
      <c r="N421" s="25"/>
      <c r="O421" s="195"/>
    </row>
    <row r="422" spans="1:17" ht="15.95" customHeight="1" x14ac:dyDescent="0.25">
      <c r="A422" s="121"/>
      <c r="B422" s="23"/>
      <c r="C422" s="59" t="s">
        <v>8</v>
      </c>
      <c r="D422" s="658" t="s">
        <v>17</v>
      </c>
      <c r="E422" s="659"/>
      <c r="F422" s="483"/>
      <c r="G422" s="484"/>
      <c r="H422" s="651" t="s">
        <v>41</v>
      </c>
      <c r="I422" s="652"/>
      <c r="J422" s="652"/>
      <c r="K422" s="652"/>
      <c r="L422" s="653"/>
      <c r="M422" s="24"/>
      <c r="N422" s="25"/>
      <c r="O422" s="195"/>
    </row>
    <row r="423" spans="1:17" ht="15.95" customHeight="1" x14ac:dyDescent="0.25">
      <c r="A423" s="121"/>
      <c r="B423" s="23"/>
      <c r="C423" s="59" t="s">
        <v>33</v>
      </c>
      <c r="D423" s="73" t="s">
        <v>309</v>
      </c>
      <c r="E423" s="273">
        <v>1</v>
      </c>
      <c r="F423" s="483">
        <f>+E423*J418</f>
        <v>0</v>
      </c>
      <c r="G423" s="484"/>
      <c r="H423" s="81" t="s">
        <v>0</v>
      </c>
      <c r="I423" s="82" t="s">
        <v>2</v>
      </c>
      <c r="J423" s="82" t="s">
        <v>3</v>
      </c>
      <c r="K423" s="82" t="s">
        <v>4</v>
      </c>
      <c r="L423" s="83" t="s">
        <v>5</v>
      </c>
      <c r="M423" s="82" t="s">
        <v>44</v>
      </c>
      <c r="N423" s="25"/>
      <c r="O423" s="195"/>
    </row>
    <row r="424" spans="1:17" ht="15.95" customHeight="1" x14ac:dyDescent="0.25">
      <c r="A424" s="121"/>
      <c r="B424" s="23"/>
      <c r="C424" s="59" t="s">
        <v>34</v>
      </c>
      <c r="D424" s="658" t="s">
        <v>48</v>
      </c>
      <c r="E424" s="659"/>
      <c r="F424" s="483"/>
      <c r="G424" s="484"/>
      <c r="H424" s="45"/>
      <c r="I424" s="46"/>
      <c r="J424" s="46"/>
      <c r="K424" s="46"/>
      <c r="L424" s="47"/>
      <c r="M424" s="23"/>
      <c r="N424" s="25"/>
      <c r="O424" s="197">
        <f>+M462</f>
        <v>-5000000</v>
      </c>
      <c r="P424" s="197">
        <f>-M462</f>
        <v>5000000</v>
      </c>
      <c r="Q424" s="197"/>
    </row>
    <row r="425" spans="1:17" ht="15.95" customHeight="1" x14ac:dyDescent="0.25">
      <c r="A425" s="121"/>
      <c r="B425" s="23"/>
      <c r="C425" s="79" t="s">
        <v>38</v>
      </c>
      <c r="D425" s="75"/>
      <c r="E425" s="76"/>
      <c r="F425" s="483"/>
      <c r="G425" s="484"/>
      <c r="H425" s="48">
        <f>+$D$434</f>
        <v>43412</v>
      </c>
      <c r="I425" s="70"/>
      <c r="J425" s="49"/>
      <c r="K425" s="49"/>
      <c r="L425" s="50">
        <f>+D436</f>
        <v>4000000</v>
      </c>
      <c r="M425" s="93">
        <f>-L425</f>
        <v>-4000000</v>
      </c>
      <c r="N425" s="25"/>
      <c r="O425" s="197">
        <f>+M463+O424</f>
        <v>-2681705.729166667</v>
      </c>
      <c r="P425" s="197">
        <f>+(M463/(1+$J$470)^((H463-$H$462)/365))/$P$424</f>
        <v>0.46365885416666658</v>
      </c>
      <c r="Q425" s="197">
        <f>+P425*((H463-$H$462)/365)</f>
        <v>0.23246457619863012</v>
      </c>
    </row>
    <row r="426" spans="1:17" ht="15.95" customHeight="1" x14ac:dyDescent="0.25">
      <c r="A426" s="121"/>
      <c r="B426" s="23"/>
      <c r="C426" s="59"/>
      <c r="D426" s="73"/>
      <c r="E426" s="74"/>
      <c r="F426" s="483"/>
      <c r="G426" s="484"/>
      <c r="H426" s="51">
        <f>IF(DAY(H425)=DAY($H$425),IF(WEEKDAY(EDATE(H425,$D$437),3)&lt;5,EDATE(H425,$D$437),WORKDAY(EDATE(H425,$D$437),1)),IF(WEEKDAY(EDATE($H$425,$D$437*COUNT($H$425:H425)),3)&lt;5,EDATE($H$425,$D$437*COUNT($H$425:H425)),WORKDAY(EDATE($H$425,$D$437*COUNT($H$425:H425)),1)))</f>
        <v>43593</v>
      </c>
      <c r="I426" s="71" t="s">
        <v>7</v>
      </c>
      <c r="J426" s="52">
        <f>(IF(AND($D$440&lt;&gt;"",$D$440&gt;(AVERAGE(VLOOKUP(WORKDAY.INTL(H426,-7,1,),'Tasas-TC'!A:B,2,FALSE),VLOOKUP(WORKDAY.INTL(H425,-7,1,),'Tasas-TC'!A:B,2,FALSE))+$D$439)),$D$440,IF(AND($D$441&lt;&gt;"",$D$441&lt;(AVERAGE(VLOOKUP(WORKDAY.INTL(H426,-7,1,),'Tasas-TC'!A:B,2,FALSE),VLOOKUP(WORKDAY.INTL(H425,-7,1,),'Tasas-TC'!A:B,2,FALSE))+$D$439)),$D$441,(AVERAGE(VLOOKUP(WORKDAY.INTL(H426,-7,1,),'Tasas-TC'!A:B,2,FALSE),VLOOKUP(WORKDAY.INTL(H425,-7,1,),'Tasas-TC'!A:B,2,FALSE))+$D$439)))/360)*(H426-H425)*L425</f>
        <v>1199125</v>
      </c>
      <c r="K426" s="52">
        <f>+IF(OR(I426="A + C",I426="A"),$D$436*$D$442,0)</f>
        <v>0</v>
      </c>
      <c r="L426" s="53">
        <f t="shared" ref="L426:L431" si="47">+L425-K426</f>
        <v>4000000</v>
      </c>
      <c r="M426" s="94">
        <f t="shared" ref="M426:M431" si="48">+J426+K426</f>
        <v>1199125</v>
      </c>
      <c r="N426" s="25"/>
      <c r="O426" s="197">
        <f>+M464+O425</f>
        <v>-403808.59375</v>
      </c>
      <c r="P426" s="197">
        <f>+(M464/(1+$J$470)^((H464-$H$462)/365))/$P$424</f>
        <v>0.45557942708333338</v>
      </c>
      <c r="Q426" s="197">
        <f>+P426*((H464-$H$462)/365)</f>
        <v>0.45557942708333338</v>
      </c>
    </row>
    <row r="427" spans="1:17" ht="15.95" customHeight="1" x14ac:dyDescent="0.25">
      <c r="A427" s="121"/>
      <c r="B427" s="23"/>
      <c r="C427" s="60"/>
      <c r="D427" s="77"/>
      <c r="E427" s="78"/>
      <c r="F427" s="483"/>
      <c r="G427" s="484"/>
      <c r="H427" s="51">
        <f>IF(DAY(H426)=DAY($H$425),IF(WEEKDAY(EDATE(H426,$D$437),3)&lt;5,EDATE(H426,$D$437),WORKDAY(EDATE(H426,$D$437),1)),IF(WEEKDAY(EDATE($H$425,$D$437*COUNT($H$425:H426)),3)&lt;5,EDATE($H$425,$D$437*COUNT($H$425:H426)),WORKDAY(EDATE($H$425,$D$437*COUNT($H$425:H426)),1)))</f>
        <v>43777</v>
      </c>
      <c r="I427" s="71" t="s">
        <v>13</v>
      </c>
      <c r="J427" s="52">
        <f>(IF(AND($D$440&lt;&gt;"",$D$440&gt;(AVERAGE(VLOOKUP(WORKDAY.INTL(H427,-7,1,),'Tasas-TC'!A:B,2,FALSE),VLOOKUP(WORKDAY.INTL(H426,-7,1,),'Tasas-TC'!A:B,2,FALSE))+$D$439)),$D$440,IF(AND($D$441&lt;&gt;"",$D$441&lt;(AVERAGE(VLOOKUP(WORKDAY.INTL(H427,-7,1,),'Tasas-TC'!A:B,2,FALSE),VLOOKUP(WORKDAY.INTL(H426,-7,1,),'Tasas-TC'!A:B,2,FALSE))+$D$439)),$D$441,(AVERAGE(VLOOKUP(WORKDAY.INTL(H427,-7,1,),'Tasas-TC'!A:B,2,FALSE),VLOOKUP(WORKDAY.INTL(H426,-7,1,),'Tasas-TC'!A:B,2,FALSE))+$D$439)))/360)*(H427-H426)*L426</f>
        <v>1186416.6666666665</v>
      </c>
      <c r="K427" s="52">
        <f>+IF(OR(I427="A + C",I427="A"),$D$436*$D$442,0)</f>
        <v>1080000</v>
      </c>
      <c r="L427" s="53">
        <f t="shared" si="47"/>
        <v>2920000</v>
      </c>
      <c r="M427" s="94">
        <f t="shared" si="48"/>
        <v>2266416.6666666665</v>
      </c>
      <c r="N427" s="25"/>
      <c r="O427" s="197">
        <f>+M465+O426</f>
        <v>1592805.9895833335</v>
      </c>
      <c r="P427" s="197">
        <f>+(M465/(1+$J$470)^((H465-$H$462)/365))/$P$424</f>
        <v>0.39932291666666669</v>
      </c>
      <c r="Q427" s="197">
        <f>+P427*((H465-$H$462)/365)</f>
        <v>0.59953139269406397</v>
      </c>
    </row>
    <row r="428" spans="1:17" ht="15.95" customHeight="1" x14ac:dyDescent="0.25">
      <c r="A428" s="121"/>
      <c r="B428" s="23"/>
      <c r="C428" s="60"/>
      <c r="D428" s="666" t="str">
        <f>+B416</f>
        <v>BCI Consulting I</v>
      </c>
      <c r="E428" s="667"/>
      <c r="F428" s="483"/>
      <c r="G428" s="484">
        <f>+J418</f>
        <v>0</v>
      </c>
      <c r="H428" s="51">
        <f>IF(DAY(H427)=DAY($H$425),IF(WEEKDAY(EDATE(H427,$D$437),3)&lt;5,EDATE(H427,$D$437),WORKDAY(EDATE(H427,$D$437),1)),IF(WEEKDAY(EDATE($H$425,$D$437*COUNT($H$425:H427)),3)&lt;5,EDATE($H$425,$D$437*COUNT($H$425:H427)),WORKDAY(EDATE($H$425,$D$437*COUNT($H$425:H427)),1)))</f>
        <v>43959</v>
      </c>
      <c r="I428" s="71" t="s">
        <v>7</v>
      </c>
      <c r="J428" s="52">
        <f>(IF(AND($D$440&lt;&gt;"",$D$440&gt;(AVERAGE(VLOOKUP(WORKDAY.INTL(H428,-7,1,),'Tasas-TC'!A:B,2,FALSE),VLOOKUP(WORKDAY.INTL(H427,-7,1,),'Tasas-TC'!A:B,2,FALSE))+$D$439)),$D$440,IF(AND($D$441&lt;&gt;"",$D$441&lt;(AVERAGE(VLOOKUP(WORKDAY.INTL(H428,-7,1,),'Tasas-TC'!A:B,2,FALSE),VLOOKUP(WORKDAY.INTL(H427,-7,1,),'Tasas-TC'!A:B,2,FALSE))+$D$439)),$D$441,(AVERAGE(VLOOKUP(WORKDAY.INTL(H428,-7,1,),'Tasas-TC'!A:B,2,FALSE),VLOOKUP(WORKDAY.INTL(H427,-7,1,),'Tasas-TC'!A:B,2,FALSE))+$D$439)))/360)*(H428-H427)*L427</f>
        <v>622781.25</v>
      </c>
      <c r="K428" s="52">
        <f>+IF(OR(I428="A + C",I428="A"),$D$436*$D$443,0)</f>
        <v>0</v>
      </c>
      <c r="L428" s="53">
        <f t="shared" si="47"/>
        <v>2920000</v>
      </c>
      <c r="M428" s="94">
        <f t="shared" si="48"/>
        <v>622781.25</v>
      </c>
      <c r="N428" s="25"/>
      <c r="O428" s="197">
        <f>+M466+O427</f>
        <v>3139267.578125</v>
      </c>
      <c r="P428" s="197">
        <f>+(M466/(1+$J$470)^((H466-$H$462)/365))/$P$424</f>
        <v>0.30929231770833338</v>
      </c>
      <c r="Q428" s="197">
        <f>+P428*((H466-$H$462)/365)</f>
        <v>0.61943201162956629</v>
      </c>
    </row>
    <row r="429" spans="1:17" ht="15.95" customHeight="1" x14ac:dyDescent="0.25">
      <c r="A429" s="121"/>
      <c r="B429" s="32"/>
      <c r="D429" s="644"/>
      <c r="E429" s="660"/>
      <c r="F429" s="483"/>
      <c r="G429" s="484"/>
      <c r="H429" s="51">
        <f>IF(DAY(H428)=DAY($H$425),IF(WEEKDAY(EDATE(H428,$D$437),3)&lt;5,EDATE(H428,$D$437),WORKDAY(EDATE(H428,$D$437),1)),IF(WEEKDAY(EDATE($H$425,$D$437*COUNT($H$425:H428)),3)&lt;5,EDATE($H$425,$D$437*COUNT($H$425:H428)),WORKDAY(EDATE($H$425,$D$437*COUNT($H$425:H428)),1)))</f>
        <v>44144</v>
      </c>
      <c r="I429" s="71" t="s">
        <v>13</v>
      </c>
      <c r="J429" s="52">
        <f>(IF(AND($D$440&lt;&gt;"",$D$440&gt;(AVERAGE(VLOOKUP(WORKDAY.INTL(H429,-7,1,),'Tasas-TC'!A:B,2,FALSE),VLOOKUP(WORKDAY.INTL(H428,-7,1,),'Tasas-TC'!A:B,2,FALSE))+$D$439)),$D$440,IF(AND($D$441&lt;&gt;"",$D$441&lt;(AVERAGE(VLOOKUP(WORKDAY.INTL(H429,-7,1,),'Tasas-TC'!A:B,2,FALSE),VLOOKUP(WORKDAY.INTL(H428,-7,1,),'Tasas-TC'!A:B,2,FALSE))+$D$439)),$D$441,(AVERAGE(VLOOKUP(WORKDAY.INTL(H429,-7,1,),'Tasas-TC'!A:B,2,FALSE),VLOOKUP(WORKDAY.INTL(H428,-7,1,),'Tasas-TC'!A:B,2,FALSE))+$D$439)))/360)*(H429-H428)*L428</f>
        <v>495183.33333333343</v>
      </c>
      <c r="K429" s="52">
        <f>+IF(OR(I429="A + C",I429="A"),$D$436*$D$443,0)</f>
        <v>1320000</v>
      </c>
      <c r="L429" s="53">
        <f t="shared" si="47"/>
        <v>1600000</v>
      </c>
      <c r="M429" s="94">
        <f t="shared" si="48"/>
        <v>1815183.3333333335</v>
      </c>
      <c r="N429" s="25"/>
      <c r="O429" s="197"/>
      <c r="P429" s="197"/>
      <c r="Q429" s="197"/>
    </row>
    <row r="430" spans="1:17" ht="15.95" customHeight="1" x14ac:dyDescent="0.25">
      <c r="A430" s="121"/>
      <c r="B430" s="23"/>
      <c r="C430" s="638" t="s">
        <v>36</v>
      </c>
      <c r="D430" s="640"/>
      <c r="E430" s="36"/>
      <c r="F430" s="483"/>
      <c r="G430" s="484"/>
      <c r="H430" s="51">
        <f>IF(DAY(H429)=DAY($H$425),IF(WEEKDAY(EDATE(H429,$D$437),3)&lt;5,EDATE(H429,$D$437),WORKDAY(EDATE(H429,$D$437),1)),IF(WEEKDAY(EDATE($H$425,$D$437*COUNT($H$425:H429)),3)&lt;5,EDATE($H$425,$D$437*COUNT($H$425:H429)),WORKDAY(EDATE($H$425,$D$437*COUNT($H$425:H429)),1)))</f>
        <v>44326</v>
      </c>
      <c r="I430" s="71" t="s">
        <v>7</v>
      </c>
      <c r="J430" s="52">
        <f>(IF(AND($D$440&lt;&gt;"",$D$440&gt;(AVERAGE(VLOOKUP(WORKDAY.INTL(H430,-7,1,),'Tasas-TC'!A:B,2,FALSE),VLOOKUP(WORKDAY.INTL(H429,-7,1,),'Tasas-TC'!A:B,2,FALSE))+$D$439)),$D$440,IF(AND($D$441&lt;&gt;"",$D$441&lt;(AVERAGE(VLOOKUP(WORKDAY.INTL(H430,-7,1,),'Tasas-TC'!A:B,2,FALSE),VLOOKUP(WORKDAY.INTL(H429,-7,1,),'Tasas-TC'!A:B,2,FALSE))+$D$439)),$D$441,(AVERAGE(VLOOKUP(WORKDAY.INTL(H430,-7,1,),'Tasas-TC'!A:B,2,FALSE),VLOOKUP(WORKDAY.INTL(H429,-7,1,),'Tasas-TC'!A:B,2,FALSE))+$D$439)))/360)*(H430-H429)*L429</f>
        <v>331138.88888888888</v>
      </c>
      <c r="K430" s="52">
        <f>+IF(OR(I430="A + C",I430="A"),$D$436*$D$443,0)</f>
        <v>0</v>
      </c>
      <c r="L430" s="53">
        <f t="shared" si="47"/>
        <v>1600000</v>
      </c>
      <c r="M430" s="94">
        <f t="shared" si="48"/>
        <v>331138.88888888888</v>
      </c>
      <c r="N430" s="25"/>
      <c r="O430" s="197"/>
      <c r="P430" s="197"/>
      <c r="Q430" s="197"/>
    </row>
    <row r="431" spans="1:17" ht="15.95" customHeight="1" x14ac:dyDescent="0.25">
      <c r="A431" s="121"/>
      <c r="B431" s="23"/>
      <c r="C431" s="59"/>
      <c r="D431" s="62"/>
      <c r="E431" s="36"/>
      <c r="F431" s="483"/>
      <c r="G431" s="484"/>
      <c r="H431" s="51">
        <f>IF(DAY(H430)=DAY($H$425),IF(WEEKDAY(EDATE(H430,$D$437),3)&lt;5,EDATE(H430,$D$437),WORKDAY(EDATE(H430,$D$437),1)),IF(WEEKDAY(EDATE($H$425,$D$437*COUNT($H$425:H430)),3)&lt;5,EDATE($H$425,$D$437*COUNT($H$425:H430)),WORKDAY(EDATE($H$425,$D$437*COUNT($H$425:H430)),1)))</f>
        <v>44508</v>
      </c>
      <c r="I431" s="71" t="s">
        <v>13</v>
      </c>
      <c r="J431" s="52">
        <f>(IF(AND($D$440&lt;&gt;"",$D$440&gt;(AVERAGE(VLOOKUP(WORKDAY.INTL(H431,-7,1,),'Tasas-TC'!A:B,2,FALSE),VLOOKUP(WORKDAY.INTL(H430,-7,1,),'Tasas-TC'!A:B,2,FALSE))+$D$439)),$D$440,IF(AND($D$441&lt;&gt;"",$D$441&lt;(AVERAGE(VLOOKUP(WORKDAY.INTL(H431,-7,1,),'Tasas-TC'!A:B,2,FALSE),VLOOKUP(WORKDAY.INTL(H430,-7,1,),'Tasas-TC'!A:B,2,FALSE))+$D$439)),$D$441,(AVERAGE(VLOOKUP(WORKDAY.INTL(H431,-7,1,),'Tasas-TC'!A:B,2,FALSE),VLOOKUP(WORKDAY.INTL(H430,-7,1,),'Tasas-TC'!A:B,2,FALSE))+$D$439)))/360)*(H431-H430)*L430</f>
        <v>340997.22222222225</v>
      </c>
      <c r="K431" s="52">
        <f>+IF(OR(I431="A + C",I431="A"),$D$436*$D$444,0)</f>
        <v>1600000</v>
      </c>
      <c r="L431" s="53">
        <f t="shared" si="47"/>
        <v>0</v>
      </c>
      <c r="M431" s="94">
        <f t="shared" si="48"/>
        <v>1940997.2222222222</v>
      </c>
      <c r="N431" s="25"/>
      <c r="O431" s="197"/>
      <c r="P431" s="29"/>
    </row>
    <row r="432" spans="1:17" ht="15.95" customHeight="1" x14ac:dyDescent="0.25">
      <c r="A432" s="121"/>
      <c r="B432" s="23"/>
      <c r="C432" s="59" t="s">
        <v>9</v>
      </c>
      <c r="D432" s="98" t="s">
        <v>18</v>
      </c>
      <c r="E432" s="36"/>
      <c r="F432" s="483"/>
      <c r="G432" s="484"/>
      <c r="H432" s="54"/>
      <c r="I432" s="61"/>
      <c r="J432" s="55"/>
      <c r="K432" s="56"/>
      <c r="L432" s="57"/>
      <c r="M432" s="109"/>
      <c r="N432" s="25"/>
      <c r="O432" s="197"/>
      <c r="P432" s="29"/>
    </row>
    <row r="433" spans="1:16" ht="15.95" customHeight="1" x14ac:dyDescent="0.25">
      <c r="A433" s="121"/>
      <c r="B433" s="23"/>
      <c r="C433" s="59" t="s">
        <v>10</v>
      </c>
      <c r="D433" s="65">
        <v>43409</v>
      </c>
      <c r="E433" s="36"/>
      <c r="F433" s="483"/>
      <c r="G433" s="484"/>
      <c r="H433" s="35"/>
      <c r="I433" s="35"/>
      <c r="J433" s="35"/>
      <c r="K433" s="109"/>
      <c r="L433" s="109"/>
      <c r="M433" s="109"/>
      <c r="N433" s="25"/>
      <c r="O433" s="197"/>
      <c r="P433" s="29"/>
    </row>
    <row r="434" spans="1:16" ht="15.95" customHeight="1" x14ac:dyDescent="0.25">
      <c r="A434" s="121"/>
      <c r="B434" s="23"/>
      <c r="C434" s="59" t="s">
        <v>11</v>
      </c>
      <c r="D434" s="65">
        <v>43412</v>
      </c>
      <c r="E434" s="36"/>
      <c r="F434" s="483"/>
      <c r="G434" s="484"/>
      <c r="H434" s="656" t="s">
        <v>43</v>
      </c>
      <c r="I434" s="656"/>
      <c r="J434" s="92">
        <v>0</v>
      </c>
      <c r="K434" s="92"/>
      <c r="L434" s="24"/>
      <c r="M434" s="24"/>
      <c r="N434" s="25"/>
      <c r="O434" s="197"/>
    </row>
    <row r="435" spans="1:16" ht="15.95" customHeight="1" x14ac:dyDescent="0.25">
      <c r="A435" s="121"/>
      <c r="B435" s="23"/>
      <c r="C435" s="59" t="s">
        <v>12</v>
      </c>
      <c r="D435" s="65">
        <v>44508</v>
      </c>
      <c r="E435" s="36"/>
      <c r="F435" s="483"/>
      <c r="G435" s="484"/>
      <c r="H435" s="657"/>
      <c r="I435" s="657"/>
      <c r="J435" s="392"/>
      <c r="K435" s="24"/>
      <c r="L435" s="33"/>
      <c r="M435" s="33"/>
      <c r="N435" s="25"/>
      <c r="O435" s="197"/>
      <c r="P435" s="37"/>
    </row>
    <row r="436" spans="1:16" ht="15.95" customHeight="1" x14ac:dyDescent="0.25">
      <c r="A436" s="121"/>
      <c r="B436" s="23"/>
      <c r="C436" s="59" t="s">
        <v>27</v>
      </c>
      <c r="D436" s="66">
        <v>4000000</v>
      </c>
      <c r="E436" s="41"/>
      <c r="F436" s="480"/>
      <c r="G436" s="484"/>
      <c r="H436" s="24"/>
      <c r="I436" s="24"/>
      <c r="J436" s="24"/>
      <c r="K436" s="24"/>
      <c r="L436" s="24"/>
      <c r="M436" s="24"/>
      <c r="N436" s="25"/>
      <c r="O436" s="197"/>
    </row>
    <row r="437" spans="1:16" ht="15.95" customHeight="1" x14ac:dyDescent="0.25">
      <c r="A437" s="121"/>
      <c r="B437" s="23"/>
      <c r="C437" s="59" t="s">
        <v>26</v>
      </c>
      <c r="D437" s="66">
        <v>6</v>
      </c>
      <c r="E437" s="36"/>
      <c r="F437" s="480"/>
      <c r="G437" s="484"/>
      <c r="H437" s="638" t="s">
        <v>44</v>
      </c>
      <c r="I437" s="639"/>
      <c r="J437" s="639"/>
      <c r="K437" s="639"/>
      <c r="L437" s="639"/>
      <c r="M437" s="640"/>
      <c r="N437" s="25"/>
      <c r="O437" s="195"/>
    </row>
    <row r="438" spans="1:16" ht="15.95" customHeight="1" x14ac:dyDescent="0.25">
      <c r="A438" s="121"/>
      <c r="B438" s="23"/>
      <c r="C438" s="59" t="s">
        <v>19</v>
      </c>
      <c r="D438" s="67" t="s">
        <v>20</v>
      </c>
      <c r="E438" s="43"/>
      <c r="F438" s="480"/>
      <c r="G438" s="484"/>
      <c r="H438" s="23"/>
      <c r="I438" s="24"/>
      <c r="J438" s="24"/>
      <c r="K438" s="24"/>
      <c r="L438" s="24"/>
      <c r="M438" s="25"/>
      <c r="N438" s="25"/>
      <c r="O438" s="195"/>
    </row>
    <row r="439" spans="1:16" ht="15.95" customHeight="1" x14ac:dyDescent="0.25">
      <c r="A439" s="121"/>
      <c r="B439" s="23"/>
      <c r="C439" s="59" t="s">
        <v>14</v>
      </c>
      <c r="D439" s="68">
        <v>0.08</v>
      </c>
      <c r="E439" s="43"/>
      <c r="F439" s="480"/>
      <c r="G439" s="484"/>
      <c r="H439" s="23"/>
      <c r="I439" s="24"/>
      <c r="J439" s="24"/>
      <c r="K439" s="24"/>
      <c r="L439" s="24"/>
      <c r="M439" s="25"/>
      <c r="N439" s="25"/>
      <c r="O439" s="195"/>
    </row>
    <row r="440" spans="1:16" ht="15.95" customHeight="1" x14ac:dyDescent="0.25">
      <c r="A440" s="121"/>
      <c r="B440" s="23"/>
      <c r="C440" s="59" t="s">
        <v>31</v>
      </c>
      <c r="D440" s="68"/>
      <c r="E440" s="43"/>
      <c r="F440" s="480"/>
      <c r="G440" s="484"/>
      <c r="H440" s="96"/>
      <c r="I440" s="35"/>
      <c r="J440" s="24"/>
      <c r="K440" s="24"/>
      <c r="L440" s="24"/>
      <c r="M440" s="25"/>
      <c r="N440" s="25"/>
      <c r="O440" s="195"/>
    </row>
    <row r="441" spans="1:16" ht="15.95" customHeight="1" x14ac:dyDescent="0.25">
      <c r="A441" s="121"/>
      <c r="B441" s="23"/>
      <c r="C441" s="59" t="s">
        <v>32</v>
      </c>
      <c r="D441" s="68"/>
      <c r="E441" s="44"/>
      <c r="F441" s="480"/>
      <c r="G441" s="484"/>
      <c r="H441" s="23"/>
      <c r="I441" s="24"/>
      <c r="J441" s="24"/>
      <c r="K441" s="24"/>
      <c r="L441" s="24"/>
      <c r="M441" s="25"/>
      <c r="N441" s="25"/>
      <c r="O441" s="195"/>
    </row>
    <row r="442" spans="1:16" ht="15.95" customHeight="1" x14ac:dyDescent="0.25">
      <c r="A442" s="121"/>
      <c r="B442" s="23"/>
      <c r="C442" s="59" t="s">
        <v>55</v>
      </c>
      <c r="D442" s="68">
        <v>0.27</v>
      </c>
      <c r="E442" s="24"/>
      <c r="F442" s="480"/>
      <c r="G442" s="484"/>
      <c r="H442" s="23"/>
      <c r="I442" s="24"/>
      <c r="J442" s="24"/>
      <c r="K442" s="24"/>
      <c r="L442" s="24"/>
      <c r="M442" s="25"/>
      <c r="N442" s="25"/>
      <c r="O442" s="195"/>
    </row>
    <row r="443" spans="1:16" ht="15.95" customHeight="1" x14ac:dyDescent="0.25">
      <c r="A443" s="121"/>
      <c r="B443" s="23"/>
      <c r="C443" s="59" t="s">
        <v>55</v>
      </c>
      <c r="D443" s="68">
        <v>0.33</v>
      </c>
      <c r="E443" s="24"/>
      <c r="F443" s="480"/>
      <c r="G443" s="484"/>
      <c r="H443" s="23"/>
      <c r="I443" s="24"/>
      <c r="J443" s="24"/>
      <c r="K443" s="24"/>
      <c r="L443" s="24"/>
      <c r="M443" s="25"/>
      <c r="N443" s="25"/>
      <c r="O443" s="195"/>
    </row>
    <row r="444" spans="1:16" ht="15.95" customHeight="1" x14ac:dyDescent="0.25">
      <c r="A444" s="121"/>
      <c r="B444" s="23"/>
      <c r="C444" s="59" t="s">
        <v>55</v>
      </c>
      <c r="D444" s="68">
        <v>0.4</v>
      </c>
      <c r="E444" s="24"/>
      <c r="F444" s="480"/>
      <c r="G444" s="484"/>
      <c r="H444" s="23"/>
      <c r="I444" s="24"/>
      <c r="J444" s="24"/>
      <c r="K444" s="24"/>
      <c r="L444" s="24"/>
      <c r="M444" s="25"/>
      <c r="N444" s="25"/>
      <c r="O444" s="195"/>
    </row>
    <row r="445" spans="1:16" ht="15.95" customHeight="1" x14ac:dyDescent="0.25">
      <c r="A445" s="121"/>
      <c r="B445" s="23"/>
      <c r="C445" s="60"/>
      <c r="D445" s="119"/>
      <c r="E445" s="24"/>
      <c r="F445" s="480"/>
      <c r="G445" s="485"/>
      <c r="H445" s="23"/>
      <c r="I445" s="24"/>
      <c r="J445" s="24"/>
      <c r="K445" s="24"/>
      <c r="L445" s="24"/>
      <c r="M445" s="25"/>
      <c r="N445" s="25"/>
      <c r="O445" s="195"/>
    </row>
    <row r="446" spans="1:16" ht="15.95" customHeight="1" x14ac:dyDescent="0.25">
      <c r="A446" s="121"/>
      <c r="B446" s="23"/>
      <c r="C446" s="24"/>
      <c r="D446" s="24"/>
      <c r="E446" s="24"/>
      <c r="F446" s="480"/>
      <c r="G446" s="485"/>
      <c r="H446" s="23"/>
      <c r="I446" s="24"/>
      <c r="J446" s="24"/>
      <c r="K446" s="24"/>
      <c r="L446" s="24"/>
      <c r="M446" s="25"/>
      <c r="N446" s="25"/>
      <c r="O446" s="195"/>
    </row>
    <row r="447" spans="1:16" ht="15.95" customHeight="1" x14ac:dyDescent="0.25">
      <c r="A447" s="121"/>
      <c r="B447" s="23"/>
      <c r="C447" s="24"/>
      <c r="D447" s="24"/>
      <c r="E447" s="24"/>
      <c r="F447" s="480"/>
      <c r="G447" s="485"/>
      <c r="H447" s="23"/>
      <c r="I447" s="24"/>
      <c r="J447" s="24"/>
      <c r="K447" s="24"/>
      <c r="L447" s="24"/>
      <c r="M447" s="25"/>
      <c r="N447" s="25"/>
      <c r="O447" s="195"/>
    </row>
    <row r="448" spans="1:16" ht="15.95" customHeight="1" x14ac:dyDescent="0.25">
      <c r="A448" s="121"/>
      <c r="B448" s="23"/>
      <c r="C448" s="24"/>
      <c r="D448" s="24"/>
      <c r="E448" s="24"/>
      <c r="F448" s="480"/>
      <c r="G448" s="485"/>
      <c r="H448" s="23"/>
      <c r="I448" s="24"/>
      <c r="J448" s="24"/>
      <c r="K448" s="24"/>
      <c r="L448" s="24"/>
      <c r="M448" s="25"/>
      <c r="N448" s="25"/>
      <c r="O448" s="195"/>
    </row>
    <row r="449" spans="1:17" ht="15.95" customHeight="1" x14ac:dyDescent="0.25">
      <c r="A449" s="121"/>
      <c r="B449" s="23"/>
      <c r="C449" s="24"/>
      <c r="D449" s="24"/>
      <c r="E449" s="24"/>
      <c r="F449" s="480"/>
      <c r="G449" s="485"/>
      <c r="H449" s="23"/>
      <c r="I449" s="24"/>
      <c r="J449" s="24"/>
      <c r="K449" s="24"/>
      <c r="L449" s="24"/>
      <c r="M449" s="25"/>
      <c r="N449" s="25"/>
      <c r="O449" s="195"/>
    </row>
    <row r="450" spans="1:17" ht="20.100000000000001" customHeight="1" x14ac:dyDescent="0.25">
      <c r="A450" s="121"/>
      <c r="B450" s="23"/>
      <c r="C450" s="24"/>
      <c r="D450" s="24"/>
      <c r="E450" s="24"/>
      <c r="F450" s="480"/>
      <c r="G450" s="485"/>
      <c r="H450" s="26"/>
      <c r="I450" s="27"/>
      <c r="J450" s="27"/>
      <c r="K450" s="27"/>
      <c r="L450" s="27"/>
      <c r="M450" s="28"/>
      <c r="N450" s="25"/>
      <c r="O450" s="195"/>
    </row>
    <row r="451" spans="1:17" ht="15.95" customHeight="1" x14ac:dyDescent="0.25">
      <c r="A451" s="121"/>
      <c r="B451" s="26"/>
      <c r="C451" s="27"/>
      <c r="D451" s="27"/>
      <c r="E451" s="27"/>
      <c r="F451" s="481"/>
      <c r="G451" s="486"/>
      <c r="H451" s="27"/>
      <c r="I451" s="27"/>
      <c r="J451" s="27"/>
      <c r="K451" s="27"/>
      <c r="L451" s="27"/>
      <c r="M451" s="27"/>
      <c r="N451" s="28"/>
      <c r="O451" s="195"/>
    </row>
    <row r="452" spans="1:17" ht="15.95" customHeight="1" x14ac:dyDescent="0.25">
      <c r="A452" s="121"/>
      <c r="B452" s="23"/>
      <c r="C452" s="24"/>
      <c r="D452" s="24"/>
      <c r="E452" s="24"/>
      <c r="F452" s="480"/>
      <c r="G452" s="480"/>
      <c r="H452" s="24"/>
      <c r="I452" s="24"/>
      <c r="J452" s="24"/>
      <c r="K452" s="24"/>
      <c r="L452" s="24"/>
      <c r="M452" s="24"/>
      <c r="N452" s="25"/>
      <c r="O452" s="194" t="str">
        <f>+D494</f>
        <v>ON Pyme CNV Garantizada</v>
      </c>
    </row>
    <row r="453" spans="1:17" ht="15.95" customHeight="1" x14ac:dyDescent="0.25">
      <c r="A453" s="121"/>
      <c r="B453" s="661" t="s">
        <v>99</v>
      </c>
      <c r="C453" s="662"/>
      <c r="D453" s="662"/>
      <c r="E453" s="662"/>
      <c r="F453" s="662"/>
      <c r="G453" s="662"/>
      <c r="H453" s="662"/>
      <c r="I453" s="662"/>
      <c r="J453" s="662"/>
      <c r="K453" s="662"/>
      <c r="L453" s="662"/>
      <c r="M453" s="662"/>
      <c r="N453" s="663"/>
      <c r="O453" s="195"/>
    </row>
    <row r="454" spans="1:17" ht="15.95" customHeight="1" x14ac:dyDescent="0.25">
      <c r="A454" s="121"/>
      <c r="B454" s="23"/>
      <c r="C454" s="24"/>
      <c r="D454" s="24"/>
      <c r="E454" s="24"/>
      <c r="F454" s="483"/>
      <c r="G454" s="484"/>
      <c r="H454" s="31"/>
      <c r="I454" s="31"/>
      <c r="J454" s="24"/>
      <c r="K454" s="24"/>
      <c r="L454" s="24"/>
      <c r="M454" s="24"/>
      <c r="N454" s="25"/>
      <c r="O454" s="194" t="str">
        <f>+IF(J492="vencida",IF(D494='Reporte - Oscuro'!$C$40,'Reporte - Oscuro'!$C$40&amp;" vencida",IF(D494='Reporte - Oscuro'!$C$41,'Reporte - Oscuro'!$C$41&amp;" vencida",IF(D494='Reporte - Oscuro'!$C$42,'Reporte - Oscuro'!$C$42&amp;" vencida",'Reporte - Oscuro'!$C$43&amp;" vencida"))),D494&amp;" vigente")</f>
        <v>ON Pyme CNV Garantizada vencida</v>
      </c>
    </row>
    <row r="455" spans="1:17" ht="15.95" customHeight="1" x14ac:dyDescent="0.25">
      <c r="A455" s="121"/>
      <c r="B455" s="23"/>
      <c r="C455" s="638" t="s">
        <v>37</v>
      </c>
      <c r="D455" s="639"/>
      <c r="E455" s="640"/>
      <c r="F455" s="483"/>
      <c r="G455" s="484"/>
      <c r="H455" s="641" t="s">
        <v>28</v>
      </c>
      <c r="I455" s="642"/>
      <c r="J455" s="39">
        <f>+$D$474-SUMIF($H$461:$H$467,"&lt;"&amp;$M$4,$K$461:$K$467)</f>
        <v>0</v>
      </c>
      <c r="K455" s="24"/>
      <c r="L455" s="24"/>
      <c r="M455" s="24"/>
      <c r="N455" s="25"/>
      <c r="O455" s="195"/>
    </row>
    <row r="456" spans="1:17" ht="15.95" customHeight="1" x14ac:dyDescent="0.25">
      <c r="A456" s="121"/>
      <c r="B456" s="23"/>
      <c r="C456" s="58"/>
      <c r="D456" s="664"/>
      <c r="E456" s="665"/>
      <c r="F456" s="483"/>
      <c r="G456" s="484"/>
      <c r="H456" s="645" t="s">
        <v>29</v>
      </c>
      <c r="I456" s="646"/>
      <c r="J456" s="40">
        <f>+$D$473</f>
        <v>43937</v>
      </c>
      <c r="K456" s="24"/>
      <c r="L456" s="24"/>
      <c r="M456" s="24"/>
      <c r="N456" s="25"/>
      <c r="O456" s="195"/>
    </row>
    <row r="457" spans="1:17" ht="15.95" customHeight="1" x14ac:dyDescent="0.25">
      <c r="A457" s="121"/>
      <c r="B457" s="23"/>
      <c r="C457" s="59" t="s">
        <v>25</v>
      </c>
      <c r="D457" s="658"/>
      <c r="E457" s="659"/>
      <c r="F457" s="483"/>
      <c r="G457" s="484"/>
      <c r="H457" s="649" t="s">
        <v>30</v>
      </c>
      <c r="I457" s="650"/>
      <c r="J457" s="42" t="str">
        <f t="array" ref="J457">+IF(H466&gt;=$M$4,MIN(IF($H$461:$H$467&gt;$M$4,$H$461:$H$467,"")),"vencida")</f>
        <v>vencida</v>
      </c>
      <c r="K457" s="24"/>
      <c r="L457" s="24"/>
      <c r="M457" s="24"/>
      <c r="N457" s="25"/>
      <c r="O457" s="195"/>
    </row>
    <row r="458" spans="1:17" ht="15.95" customHeight="1" x14ac:dyDescent="0.25">
      <c r="A458" s="121"/>
      <c r="B458" s="23"/>
      <c r="C458" s="59" t="s">
        <v>6</v>
      </c>
      <c r="D458" s="658" t="s">
        <v>98</v>
      </c>
      <c r="E458" s="659"/>
      <c r="F458" s="483"/>
      <c r="G458" s="484"/>
      <c r="H458" s="24"/>
      <c r="I458" s="24"/>
      <c r="J458" s="24"/>
      <c r="K458" s="24"/>
      <c r="L458" s="24"/>
      <c r="M458" s="24"/>
      <c r="N458" s="25"/>
      <c r="O458" s="195"/>
    </row>
    <row r="459" spans="1:17" ht="15.95" customHeight="1" x14ac:dyDescent="0.25">
      <c r="A459" s="121"/>
      <c r="B459" s="23"/>
      <c r="C459" s="59" t="s">
        <v>8</v>
      </c>
      <c r="D459" s="658" t="s">
        <v>17</v>
      </c>
      <c r="E459" s="659"/>
      <c r="F459" s="483"/>
      <c r="G459" s="484"/>
      <c r="H459" s="651" t="s">
        <v>41</v>
      </c>
      <c r="I459" s="652"/>
      <c r="J459" s="652"/>
      <c r="K459" s="652"/>
      <c r="L459" s="653"/>
      <c r="M459" s="24"/>
      <c r="N459" s="25"/>
      <c r="O459" s="197">
        <f>+M497</f>
        <v>-1000000</v>
      </c>
      <c r="P459" s="197">
        <f>-M497</f>
        <v>1000000</v>
      </c>
      <c r="Q459" s="197"/>
    </row>
    <row r="460" spans="1:17" ht="15.95" customHeight="1" x14ac:dyDescent="0.25">
      <c r="A460" s="121"/>
      <c r="B460" s="23"/>
      <c r="C460" s="59" t="s">
        <v>33</v>
      </c>
      <c r="D460" s="73" t="s">
        <v>313</v>
      </c>
      <c r="E460" s="273">
        <v>0.8</v>
      </c>
      <c r="F460" s="483">
        <f>+E460*$J$455</f>
        <v>0</v>
      </c>
      <c r="G460" s="484"/>
      <c r="H460" s="81" t="s">
        <v>0</v>
      </c>
      <c r="I460" s="82" t="s">
        <v>2</v>
      </c>
      <c r="J460" s="82" t="s">
        <v>3</v>
      </c>
      <c r="K460" s="82" t="s">
        <v>4</v>
      </c>
      <c r="L460" s="83" t="s">
        <v>5</v>
      </c>
      <c r="M460" s="82" t="s">
        <v>44</v>
      </c>
      <c r="N460" s="25"/>
      <c r="O460" s="197">
        <f>+M498+O459</f>
        <v>-705959.20138888876</v>
      </c>
      <c r="P460" s="197">
        <f>+(M498/(1+$J$505)^((H498-$H$497)/365))/$P$459</f>
        <v>0.29404079861111121</v>
      </c>
      <c r="Q460" s="197">
        <f>+P460*((H498-$H$497)/365)</f>
        <v>0.14903437737823447</v>
      </c>
    </row>
    <row r="461" spans="1:17" ht="15.95" customHeight="1" x14ac:dyDescent="0.25">
      <c r="A461" s="121"/>
      <c r="B461" s="23"/>
      <c r="C461" s="278" t="s">
        <v>33</v>
      </c>
      <c r="D461" s="73" t="s">
        <v>319</v>
      </c>
      <c r="E461" s="273">
        <v>0.2</v>
      </c>
      <c r="F461" s="483">
        <f>+E461*$J$455</f>
        <v>0</v>
      </c>
      <c r="G461" s="484"/>
      <c r="H461" s="45"/>
      <c r="I461" s="46"/>
      <c r="J461" s="46"/>
      <c r="K461" s="46"/>
      <c r="L461" s="47"/>
      <c r="M461" s="23"/>
      <c r="N461" s="25"/>
      <c r="O461" s="197">
        <f>+M499+O460</f>
        <v>51084.201388888992</v>
      </c>
      <c r="P461" s="197">
        <f>+(M499/(1+$J$505)^((H499-$H$497)/365))/$P$459</f>
        <v>0.75704340277777771</v>
      </c>
      <c r="Q461" s="197">
        <f>+P461*((H499-$H$497)/365)</f>
        <v>0.76119158580669699</v>
      </c>
    </row>
    <row r="462" spans="1:17" ht="15.95" customHeight="1" x14ac:dyDescent="0.25">
      <c r="A462" s="121"/>
      <c r="B462" s="23"/>
      <c r="C462" s="59" t="s">
        <v>34</v>
      </c>
      <c r="D462" s="658" t="s">
        <v>100</v>
      </c>
      <c r="E462" s="659"/>
      <c r="F462" s="483"/>
      <c r="G462" s="484"/>
      <c r="H462" s="48">
        <f>+$D$472</f>
        <v>43206</v>
      </c>
      <c r="I462" s="70"/>
      <c r="J462" s="49"/>
      <c r="K462" s="49"/>
      <c r="L462" s="50">
        <f>+D474</f>
        <v>5000000</v>
      </c>
      <c r="M462" s="93">
        <f>-L462</f>
        <v>-5000000</v>
      </c>
      <c r="N462" s="25"/>
      <c r="O462" s="197">
        <f>+M500+O461</f>
        <v>142187.06597222231</v>
      </c>
      <c r="P462" s="197">
        <f>+(M500/(1+$J$505)^((H500-$H$497)/365))/$P$459</f>
        <v>9.1102864583333332E-2</v>
      </c>
      <c r="Q462" s="197">
        <f>+P462*((H500-$H$497)/365)</f>
        <v>0.13727828909817352</v>
      </c>
    </row>
    <row r="463" spans="1:17" ht="15.95" customHeight="1" x14ac:dyDescent="0.25">
      <c r="A463" s="121"/>
      <c r="B463" s="23"/>
      <c r="C463" s="79" t="s">
        <v>38</v>
      </c>
      <c r="D463" s="75"/>
      <c r="E463" s="76"/>
      <c r="F463" s="483"/>
      <c r="G463" s="484"/>
      <c r="H463" s="51">
        <f>IF(DAY(H462)=DAY($H$462),IF(WEEKDAY(EDATE(H462,$D$475),3)&lt;5,EDATE(H462,$D$475),WORKDAY(EDATE(H462,$D$475),1)),IF(WEEKDAY(EDATE($H$462,$D$475*COUNT($H$462:H462)),3)&lt;5,EDATE($H$462,$D$475*COUNT($H$462:H462)),WORKDAY(EDATE($H$462,$D$475*COUNT($H$462:H462)),1)))</f>
        <v>43389</v>
      </c>
      <c r="I463" s="71" t="s">
        <v>13</v>
      </c>
      <c r="J463" s="52">
        <f>(IF(AND($D$478&lt;&gt;"",$D$478&gt;(AVERAGE(VLOOKUP(WORKDAY.INTL(H463,-7,1,),'Tasas-TC'!A:B,2,FALSE),VLOOKUP(WORKDAY.INTL(H462,-7,1,),'Tasas-TC'!A:B,2,FALSE))+$D$477)),$D$478,IF(AND($D$479&lt;&gt;"",$D$479&lt;(AVERAGE(VLOOKUP(WORKDAY.INTL(H463,-7,1,),'Tasas-TC'!A:B,2,FALSE),VLOOKUP(WORKDAY.INTL(H462,-7,1,),'Tasas-TC'!A:B,2,FALSE))+$D$477)),$D$479,(AVERAGE(VLOOKUP(WORKDAY.INTL(H463,-7,1,),'Tasas-TC'!A:B,2,FALSE),VLOOKUP(WORKDAY.INTL(H462,-7,1,),'Tasas-TC'!A:B,2,FALSE))+$D$477)))/360)*(H463-H462)*L462</f>
        <v>1068294.2708333333</v>
      </c>
      <c r="K463" s="52">
        <f>+IF(OR(I463="A + C",I463="A"),$D$474*$D$480,0)</f>
        <v>1250000</v>
      </c>
      <c r="L463" s="53">
        <f>+L462-K463</f>
        <v>3750000</v>
      </c>
      <c r="M463" s="94">
        <f>+J463+K463</f>
        <v>2318294.270833333</v>
      </c>
      <c r="N463" s="25"/>
      <c r="O463" s="197">
        <f>+M501+O462</f>
        <v>738264.7569444445</v>
      </c>
      <c r="P463" s="197">
        <f>+(M501/(1+$J$505)^((H501-$H$497)/365))/$P$459</f>
        <v>0.5960776909722223</v>
      </c>
      <c r="Q463" s="197">
        <f>+P463*((H501-$H$497)/365)</f>
        <v>1.1937884715087521</v>
      </c>
    </row>
    <row r="464" spans="1:17" ht="15.95" customHeight="1" x14ac:dyDescent="0.25">
      <c r="A464" s="121"/>
      <c r="B464" s="23"/>
      <c r="C464" s="59"/>
      <c r="D464" s="73"/>
      <c r="E464" s="74"/>
      <c r="F464" s="483"/>
      <c r="G464" s="484"/>
      <c r="H464" s="51">
        <f>IF(DAY(H463)=DAY($H$462),IF(WEEKDAY(EDATE(H463,$D$475),3)&lt;5,EDATE(H463,$D$475),WORKDAY(EDATE(H463,$D$475),1)),IF(WEEKDAY(EDATE($H$462,$D$475*COUNT($H$462:H463)),3)&lt;5,EDATE($H$462,$D$475*COUNT($H$462:H463)),WORKDAY(EDATE($H$462,$D$475*COUNT($H$462:H463)),1)))</f>
        <v>43571</v>
      </c>
      <c r="I464" s="71" t="s">
        <v>13</v>
      </c>
      <c r="J464" s="52">
        <f>(IF(AND($D$478&lt;&gt;"",$D$478&gt;(AVERAGE(VLOOKUP(WORKDAY.INTL(H464,-7,1,),'Tasas-TC'!A:B,2,FALSE),VLOOKUP(WORKDAY.INTL(H463,-7,1,),'Tasas-TC'!A:B,2,FALSE))+$D$477)),$D$478,IF(AND($D$479&lt;&gt;"",$D$479&lt;(AVERAGE(VLOOKUP(WORKDAY.INTL(H464,-7,1,),'Tasas-TC'!A:B,2,FALSE),VLOOKUP(WORKDAY.INTL(H463,-7,1,),'Tasas-TC'!A:B,2,FALSE))+$D$477)),$D$479,(AVERAGE(VLOOKUP(WORKDAY.INTL(H464,-7,1,),'Tasas-TC'!A:B,2,FALSE),VLOOKUP(WORKDAY.INTL(H463,-7,1,),'Tasas-TC'!A:B,2,FALSE))+$D$477)))/360)*(H464-H463)*L463</f>
        <v>1027897.1354166667</v>
      </c>
      <c r="K464" s="52">
        <f>+IF(OR(I464="A + C",I464="A"),$D$474*$D$480,0)</f>
        <v>1250000</v>
      </c>
      <c r="L464" s="53">
        <f>+L463-K464</f>
        <v>2500000</v>
      </c>
      <c r="M464" s="94">
        <f>+J464+K464</f>
        <v>2277897.135416667</v>
      </c>
      <c r="N464" s="25"/>
      <c r="O464" s="197"/>
      <c r="P464" s="197"/>
      <c r="Q464" s="197"/>
    </row>
    <row r="465" spans="1:17" ht="15.95" customHeight="1" x14ac:dyDescent="0.25">
      <c r="A465" s="121"/>
      <c r="B465" s="23"/>
      <c r="C465" s="60"/>
      <c r="D465" s="77"/>
      <c r="E465" s="78"/>
      <c r="F465" s="483"/>
      <c r="G465" s="484"/>
      <c r="H465" s="51">
        <f>IF(DAY(H464)=DAY($H$462),IF(WEEKDAY(EDATE(H464,$D$475),3)&lt;5,EDATE(H464,$D$475),WORKDAY(EDATE(H464,$D$475),1)),IF(WEEKDAY(EDATE($H$462,$D$475*COUNT($H$462:H464)),3)&lt;5,EDATE($H$462,$D$475*COUNT($H$462:H464)),WORKDAY(EDATE($H$462,$D$475*COUNT($H$462:H464)),1)))</f>
        <v>43754</v>
      </c>
      <c r="I465" s="71" t="s">
        <v>13</v>
      </c>
      <c r="J465" s="52">
        <f>(IF(AND($D$478&lt;&gt;"",$D$478&gt;(AVERAGE(VLOOKUP(WORKDAY.INTL(H465,-7,1,),'Tasas-TC'!A:B,2,FALSE),VLOOKUP(WORKDAY.INTL(H464,-7,1,),'Tasas-TC'!A:B,2,FALSE))+$D$477)),$D$478,IF(AND($D$479&lt;&gt;"",$D$479&lt;(AVERAGE(VLOOKUP(WORKDAY.INTL(H465,-7,1,),'Tasas-TC'!A:B,2,FALSE),VLOOKUP(WORKDAY.INTL(H464,-7,1,),'Tasas-TC'!A:B,2,FALSE))+$D$477)),$D$479,(AVERAGE(VLOOKUP(WORKDAY.INTL(H465,-7,1,),'Tasas-TC'!A:B,2,FALSE),VLOOKUP(WORKDAY.INTL(H464,-7,1,),'Tasas-TC'!A:B,2,FALSE))+$D$477)))/360)*(H465-H464)*L464</f>
        <v>746614.58333333337</v>
      </c>
      <c r="K465" s="52">
        <f>+IF(OR(I465="A + C",I465="A"),$D$474*$D$480,0)</f>
        <v>1250000</v>
      </c>
      <c r="L465" s="53">
        <f>+L464-K465</f>
        <v>1250000</v>
      </c>
      <c r="M465" s="94">
        <f>+J465+K465</f>
        <v>1996614.5833333335</v>
      </c>
      <c r="N465" s="25"/>
      <c r="O465" s="197"/>
      <c r="P465" s="197"/>
      <c r="Q465" s="197"/>
    </row>
    <row r="466" spans="1:17" ht="15.95" customHeight="1" x14ac:dyDescent="0.25">
      <c r="A466" s="121"/>
      <c r="B466" s="32"/>
      <c r="C466" s="60"/>
      <c r="D466" s="669" t="str">
        <f>+B453</f>
        <v>Big Bloom III</v>
      </c>
      <c r="E466" s="670"/>
      <c r="F466" s="483"/>
      <c r="G466" s="484">
        <f>+J455</f>
        <v>0</v>
      </c>
      <c r="H466" s="51">
        <f>IF(DAY(H465)=DAY($H$462),IF(WEEKDAY(EDATE(H465,$D$475),3)&lt;5,EDATE(H465,$D$475),WORKDAY(EDATE(H465,$D$475),1)),IF(WEEKDAY(EDATE($H$462,$D$475*COUNT($H$462:H465)),3)&lt;5,EDATE($H$462,$D$475*COUNT($H$462:H465)),WORKDAY(EDATE($H$462,$D$475*COUNT($H$462:H465)),1)))</f>
        <v>43937</v>
      </c>
      <c r="I466" s="71" t="s">
        <v>13</v>
      </c>
      <c r="J466" s="52">
        <f>(IF(AND($D$478&lt;&gt;"",$D$478&gt;(AVERAGE(VLOOKUP(WORKDAY.INTL(H466,-7,1,),'Tasas-TC'!A:B,2,FALSE),VLOOKUP(WORKDAY.INTL(H465,-7,1,),'Tasas-TC'!A:B,2,FALSE))+$D$477)),$D$478,IF(AND($D$479&lt;&gt;"",$D$479&lt;(AVERAGE(VLOOKUP(WORKDAY.INTL(H466,-7,1,),'Tasas-TC'!A:B,2,FALSE),VLOOKUP(WORKDAY.INTL(H465,-7,1,),'Tasas-TC'!A:B,2,FALSE))+$D$477)),$D$479,(AVERAGE(VLOOKUP(WORKDAY.INTL(H466,-7,1,),'Tasas-TC'!A:B,2,FALSE),VLOOKUP(WORKDAY.INTL(H465,-7,1,),'Tasas-TC'!A:B,2,FALSE))+$D$477)))/360)*(H466-H465)*L465</f>
        <v>296461.58854166669</v>
      </c>
      <c r="K466" s="52">
        <f>+IF(OR(I466="A + C",I466="A"),$D$474*$D$480,0)</f>
        <v>1250000</v>
      </c>
      <c r="L466" s="53">
        <f>+L465-K466</f>
        <v>0</v>
      </c>
      <c r="M466" s="94">
        <f>+J466+K466</f>
        <v>1546461.5885416667</v>
      </c>
      <c r="N466" s="25"/>
      <c r="O466" s="197"/>
      <c r="P466" s="29"/>
    </row>
    <row r="467" spans="1:17" ht="15.95" customHeight="1" x14ac:dyDescent="0.25">
      <c r="A467" s="121"/>
      <c r="B467" s="23"/>
      <c r="E467" s="272"/>
      <c r="F467" s="483"/>
      <c r="G467" s="484"/>
      <c r="H467" s="54"/>
      <c r="I467" s="61"/>
      <c r="J467" s="55"/>
      <c r="K467" s="56"/>
      <c r="L467" s="57"/>
      <c r="M467" s="109"/>
      <c r="N467" s="25"/>
      <c r="O467" s="197"/>
      <c r="P467" s="29"/>
    </row>
    <row r="468" spans="1:17" ht="15.95" customHeight="1" x14ac:dyDescent="0.25">
      <c r="A468" s="121"/>
      <c r="B468" s="23"/>
      <c r="C468" s="638" t="s">
        <v>36</v>
      </c>
      <c r="D468" s="640"/>
      <c r="E468" s="36"/>
      <c r="F468" s="483"/>
      <c r="G468" s="484"/>
      <c r="H468" s="35"/>
      <c r="I468" s="35"/>
      <c r="J468" s="35"/>
      <c r="K468" s="109"/>
      <c r="L468" s="109"/>
      <c r="M468" s="109"/>
      <c r="N468" s="25"/>
      <c r="O468" s="197"/>
      <c r="P468" s="29"/>
    </row>
    <row r="469" spans="1:17" ht="15.95" customHeight="1" x14ac:dyDescent="0.25">
      <c r="A469" s="121"/>
      <c r="B469" s="23"/>
      <c r="C469" s="59"/>
      <c r="D469" s="62"/>
      <c r="E469" s="36"/>
      <c r="F469" s="483"/>
      <c r="G469" s="484"/>
      <c r="H469" s="656" t="s">
        <v>43</v>
      </c>
      <c r="I469" s="656"/>
      <c r="J469" s="92">
        <v>0</v>
      </c>
      <c r="K469" s="92"/>
      <c r="L469" s="24"/>
      <c r="M469" s="24"/>
      <c r="N469" s="25"/>
      <c r="O469" s="197"/>
    </row>
    <row r="470" spans="1:17" ht="15.95" customHeight="1" x14ac:dyDescent="0.25">
      <c r="A470" s="121"/>
      <c r="B470" s="23"/>
      <c r="C470" s="59" t="s">
        <v>9</v>
      </c>
      <c r="D470" s="98" t="s">
        <v>18</v>
      </c>
      <c r="E470" s="36"/>
      <c r="F470" s="483"/>
      <c r="G470" s="484"/>
      <c r="H470" s="657"/>
      <c r="I470" s="657"/>
      <c r="J470" s="392"/>
      <c r="K470" s="24"/>
      <c r="L470" s="33"/>
      <c r="M470" s="33"/>
      <c r="N470" s="25"/>
      <c r="O470" s="197"/>
      <c r="P470" s="37"/>
    </row>
    <row r="471" spans="1:17" ht="15.95" customHeight="1" x14ac:dyDescent="0.25">
      <c r="A471" s="121"/>
      <c r="B471" s="23"/>
      <c r="C471" s="59" t="s">
        <v>10</v>
      </c>
      <c r="D471" s="65">
        <v>43201</v>
      </c>
      <c r="E471" s="36"/>
      <c r="F471" s="483"/>
      <c r="G471" s="484"/>
      <c r="H471" s="24"/>
      <c r="I471" s="24"/>
      <c r="J471" s="24"/>
      <c r="K471" s="24"/>
      <c r="L471" s="24"/>
      <c r="M471" s="24"/>
      <c r="N471" s="25"/>
      <c r="O471" s="197"/>
    </row>
    <row r="472" spans="1:17" ht="15.95" customHeight="1" x14ac:dyDescent="0.25">
      <c r="A472" s="121"/>
      <c r="B472" s="23"/>
      <c r="C472" s="59" t="s">
        <v>11</v>
      </c>
      <c r="D472" s="65">
        <v>43206</v>
      </c>
      <c r="E472" s="36"/>
      <c r="F472" s="483"/>
      <c r="G472" s="484"/>
      <c r="H472" s="638" t="s">
        <v>44</v>
      </c>
      <c r="I472" s="639"/>
      <c r="J472" s="639"/>
      <c r="K472" s="639"/>
      <c r="L472" s="639"/>
      <c r="M472" s="640"/>
      <c r="N472" s="25"/>
      <c r="O472" s="195"/>
    </row>
    <row r="473" spans="1:17" ht="15.95" customHeight="1" x14ac:dyDescent="0.25">
      <c r="A473" s="121"/>
      <c r="B473" s="23"/>
      <c r="C473" s="59" t="s">
        <v>12</v>
      </c>
      <c r="D473" s="65">
        <v>43937</v>
      </c>
      <c r="E473" s="36"/>
      <c r="F473" s="480"/>
      <c r="G473" s="484"/>
      <c r="H473" s="23"/>
      <c r="I473" s="24"/>
      <c r="J473" s="24"/>
      <c r="K473" s="24"/>
      <c r="L473" s="24"/>
      <c r="M473" s="25"/>
      <c r="N473" s="25"/>
      <c r="O473" s="195"/>
    </row>
    <row r="474" spans="1:17" ht="15.95" customHeight="1" x14ac:dyDescent="0.25">
      <c r="A474" s="121"/>
      <c r="B474" s="23"/>
      <c r="C474" s="59" t="s">
        <v>27</v>
      </c>
      <c r="D474" s="66">
        <v>5000000</v>
      </c>
      <c r="E474" s="41"/>
      <c r="F474" s="480"/>
      <c r="G474" s="484"/>
      <c r="H474" s="23"/>
      <c r="I474" s="24"/>
      <c r="J474" s="24"/>
      <c r="K474" s="24"/>
      <c r="L474" s="24"/>
      <c r="M474" s="25"/>
      <c r="N474" s="25"/>
      <c r="O474" s="195"/>
    </row>
    <row r="475" spans="1:17" ht="15.95" customHeight="1" x14ac:dyDescent="0.25">
      <c r="A475" s="121"/>
      <c r="B475" s="23"/>
      <c r="C475" s="59" t="s">
        <v>26</v>
      </c>
      <c r="D475" s="66">
        <v>6</v>
      </c>
      <c r="E475" s="36"/>
      <c r="F475" s="480"/>
      <c r="G475" s="484"/>
      <c r="H475" s="96"/>
      <c r="I475" s="35"/>
      <c r="J475" s="24"/>
      <c r="K475" s="24"/>
      <c r="L475" s="24"/>
      <c r="M475" s="25"/>
      <c r="N475" s="25"/>
      <c r="O475" s="195"/>
    </row>
    <row r="476" spans="1:17" ht="15.95" customHeight="1" x14ac:dyDescent="0.25">
      <c r="A476" s="121"/>
      <c r="B476" s="23"/>
      <c r="C476" s="59" t="s">
        <v>19</v>
      </c>
      <c r="D476" s="67" t="s">
        <v>20</v>
      </c>
      <c r="E476" s="43"/>
      <c r="F476" s="480"/>
      <c r="G476" s="484"/>
      <c r="H476" s="23"/>
      <c r="I476" s="24"/>
      <c r="J476" s="24"/>
      <c r="K476" s="24"/>
      <c r="L476" s="24"/>
      <c r="M476" s="25"/>
      <c r="N476" s="25"/>
      <c r="O476" s="195"/>
    </row>
    <row r="477" spans="1:17" ht="15.95" customHeight="1" x14ac:dyDescent="0.25">
      <c r="A477" s="121"/>
      <c r="B477" s="23"/>
      <c r="C477" s="59" t="s">
        <v>14</v>
      </c>
      <c r="D477" s="68">
        <v>6.25E-2</v>
      </c>
      <c r="E477" s="43"/>
      <c r="F477" s="480"/>
      <c r="G477" s="484"/>
      <c r="H477" s="23"/>
      <c r="I477" s="24"/>
      <c r="J477" s="24"/>
      <c r="K477" s="24"/>
      <c r="L477" s="24"/>
      <c r="M477" s="25"/>
      <c r="N477" s="25"/>
      <c r="O477" s="195"/>
    </row>
    <row r="478" spans="1:17" ht="15.95" customHeight="1" x14ac:dyDescent="0.25">
      <c r="A478" s="121"/>
      <c r="B478" s="23"/>
      <c r="C478" s="59" t="s">
        <v>31</v>
      </c>
      <c r="D478" s="68"/>
      <c r="E478" s="43"/>
      <c r="F478" s="480"/>
      <c r="G478" s="484"/>
      <c r="H478" s="23"/>
      <c r="I478" s="24"/>
      <c r="J478" s="24"/>
      <c r="K478" s="24"/>
      <c r="L478" s="24"/>
      <c r="M478" s="25"/>
      <c r="N478" s="25"/>
      <c r="O478" s="195"/>
    </row>
    <row r="479" spans="1:17" ht="15.95" customHeight="1" x14ac:dyDescent="0.25">
      <c r="A479" s="121"/>
      <c r="B479" s="23"/>
      <c r="C479" s="59" t="s">
        <v>32</v>
      </c>
      <c r="D479" s="68"/>
      <c r="E479" s="44"/>
      <c r="F479" s="480"/>
      <c r="G479" s="484"/>
      <c r="H479" s="23"/>
      <c r="I479" s="24"/>
      <c r="J479" s="24"/>
      <c r="K479" s="24"/>
      <c r="L479" s="24"/>
      <c r="M479" s="25"/>
      <c r="N479" s="25"/>
      <c r="O479" s="195"/>
    </row>
    <row r="480" spans="1:17" ht="15.95" customHeight="1" x14ac:dyDescent="0.25">
      <c r="A480" s="121"/>
      <c r="B480" s="23"/>
      <c r="C480" s="59" t="s">
        <v>64</v>
      </c>
      <c r="D480" s="68">
        <v>0.25</v>
      </c>
      <c r="E480" s="24"/>
      <c r="F480" s="480"/>
      <c r="G480" s="485"/>
      <c r="H480" s="23"/>
      <c r="I480" s="24"/>
      <c r="J480" s="24"/>
      <c r="K480" s="24"/>
      <c r="L480" s="24"/>
      <c r="M480" s="25"/>
      <c r="N480" s="25"/>
      <c r="O480" s="195"/>
    </row>
    <row r="481" spans="1:17" ht="15.95" customHeight="1" x14ac:dyDescent="0.25">
      <c r="A481" s="121"/>
      <c r="B481" s="23"/>
      <c r="C481" s="60"/>
      <c r="D481" s="119"/>
      <c r="E481" s="24"/>
      <c r="F481" s="480"/>
      <c r="G481" s="485"/>
      <c r="H481" s="23"/>
      <c r="I481" s="24"/>
      <c r="J481" s="24"/>
      <c r="K481" s="24"/>
      <c r="L481" s="24"/>
      <c r="M481" s="25"/>
      <c r="N481" s="25"/>
      <c r="O481" s="195"/>
    </row>
    <row r="482" spans="1:17" ht="15.95" customHeight="1" x14ac:dyDescent="0.25">
      <c r="A482" s="121"/>
      <c r="B482" s="23"/>
      <c r="C482" s="24"/>
      <c r="D482" s="24"/>
      <c r="E482" s="24"/>
      <c r="F482" s="480"/>
      <c r="G482" s="485"/>
      <c r="H482" s="23"/>
      <c r="I482" s="24"/>
      <c r="J482" s="24"/>
      <c r="K482" s="24"/>
      <c r="L482" s="24"/>
      <c r="M482" s="25"/>
      <c r="N482" s="25"/>
      <c r="O482" s="195"/>
    </row>
    <row r="483" spans="1:17" ht="15.95" customHeight="1" x14ac:dyDescent="0.25">
      <c r="A483" s="121"/>
      <c r="B483" s="23"/>
      <c r="C483" s="24"/>
      <c r="D483" s="24"/>
      <c r="E483" s="24"/>
      <c r="F483" s="480"/>
      <c r="G483" s="485"/>
      <c r="H483" s="23"/>
      <c r="I483" s="24"/>
      <c r="J483" s="24"/>
      <c r="K483" s="24"/>
      <c r="L483" s="24"/>
      <c r="M483" s="25"/>
      <c r="N483" s="25"/>
      <c r="O483" s="195"/>
    </row>
    <row r="484" spans="1:17" ht="15.95" customHeight="1" x14ac:dyDescent="0.25">
      <c r="A484" s="121"/>
      <c r="B484" s="23"/>
      <c r="C484" s="24"/>
      <c r="D484" s="24"/>
      <c r="E484" s="24"/>
      <c r="F484" s="480"/>
      <c r="G484" s="485"/>
      <c r="H484" s="23"/>
      <c r="I484" s="24"/>
      <c r="J484" s="24"/>
      <c r="K484" s="24"/>
      <c r="L484" s="24"/>
      <c r="M484" s="25"/>
      <c r="N484" s="25"/>
      <c r="O484" s="195"/>
    </row>
    <row r="485" spans="1:17" ht="20.100000000000001" customHeight="1" x14ac:dyDescent="0.25">
      <c r="A485" s="121"/>
      <c r="B485" s="23"/>
      <c r="C485" s="24"/>
      <c r="D485" s="24"/>
      <c r="E485" s="24"/>
      <c r="F485" s="480"/>
      <c r="G485" s="485"/>
      <c r="H485" s="26"/>
      <c r="I485" s="27"/>
      <c r="J485" s="27"/>
      <c r="K485" s="27"/>
      <c r="L485" s="27"/>
      <c r="M485" s="28"/>
      <c r="N485" s="25"/>
      <c r="O485" s="195"/>
    </row>
    <row r="486" spans="1:17" ht="15.95" customHeight="1" x14ac:dyDescent="0.25">
      <c r="A486" s="121"/>
      <c r="B486" s="26"/>
      <c r="C486" s="27"/>
      <c r="D486" s="27"/>
      <c r="E486" s="27"/>
      <c r="F486" s="481"/>
      <c r="G486" s="486"/>
      <c r="H486" s="27"/>
      <c r="I486" s="27"/>
      <c r="J486" s="27"/>
      <c r="K486" s="27"/>
      <c r="L486" s="27"/>
      <c r="M486" s="27"/>
      <c r="N486" s="28"/>
      <c r="O486" s="195"/>
    </row>
    <row r="487" spans="1:17" ht="15.95" customHeight="1" x14ac:dyDescent="0.25">
      <c r="A487" s="121"/>
      <c r="B487" s="23"/>
      <c r="C487" s="24"/>
      <c r="D487" s="24"/>
      <c r="E487" s="24"/>
      <c r="F487" s="480"/>
      <c r="G487" s="480"/>
      <c r="H487" s="24"/>
      <c r="I487" s="24"/>
      <c r="J487" s="24"/>
      <c r="K487" s="24"/>
      <c r="L487" s="24"/>
      <c r="M487" s="24"/>
      <c r="N487" s="25"/>
      <c r="O487" s="194" t="str">
        <f>+D529</f>
        <v>ON Pyme CNV Garantizada</v>
      </c>
    </row>
    <row r="488" spans="1:17" ht="15.95" customHeight="1" x14ac:dyDescent="0.25">
      <c r="A488" s="121"/>
      <c r="B488" s="661" t="s">
        <v>101</v>
      </c>
      <c r="C488" s="662"/>
      <c r="D488" s="662"/>
      <c r="E488" s="662"/>
      <c r="F488" s="662"/>
      <c r="G488" s="662"/>
      <c r="H488" s="662"/>
      <c r="I488" s="662"/>
      <c r="J488" s="662"/>
      <c r="K488" s="662"/>
      <c r="L488" s="662"/>
      <c r="M488" s="662"/>
      <c r="N488" s="663"/>
      <c r="O488" s="195"/>
    </row>
    <row r="489" spans="1:17" ht="15.95" customHeight="1" x14ac:dyDescent="0.25">
      <c r="A489" s="121"/>
      <c r="B489" s="23"/>
      <c r="C489" s="24"/>
      <c r="D489" s="24"/>
      <c r="E489" s="24"/>
      <c r="F489" s="483"/>
      <c r="G489" s="484"/>
      <c r="H489" s="31"/>
      <c r="I489" s="31"/>
      <c r="J489" s="24"/>
      <c r="K489" s="24"/>
      <c r="L489" s="24"/>
      <c r="M489" s="24"/>
      <c r="N489" s="25"/>
      <c r="O489" s="194" t="str">
        <f>+IF(J527="vencida",IF(D529='Reporte - Oscuro'!$C$40,'Reporte - Oscuro'!$C$40&amp;" vencida",IF(D529='Reporte - Oscuro'!$C$41,'Reporte - Oscuro'!$C$41&amp;" vencida",IF(D529='Reporte - Oscuro'!$C$42,'Reporte - Oscuro'!$C$42&amp;" vencida",'Reporte - Oscuro'!$C$43&amp;" vencida"))),D529&amp;" vigente")</f>
        <v>ON Pyme CNV Garantizada vencida</v>
      </c>
    </row>
    <row r="490" spans="1:17" ht="15.95" customHeight="1" x14ac:dyDescent="0.25">
      <c r="A490" s="121"/>
      <c r="B490" s="23"/>
      <c r="C490" s="638" t="s">
        <v>37</v>
      </c>
      <c r="D490" s="639"/>
      <c r="E490" s="640"/>
      <c r="F490" s="483"/>
      <c r="G490" s="484"/>
      <c r="H490" s="641" t="s">
        <v>28</v>
      </c>
      <c r="I490" s="642"/>
      <c r="J490" s="39">
        <f>+$D$508-SUMIF($H$496:$H$502,"&lt;"&amp;$M$4,$K$496:$K$502)</f>
        <v>0</v>
      </c>
      <c r="K490" s="24"/>
      <c r="L490" s="24"/>
      <c r="M490" s="24"/>
      <c r="N490" s="25"/>
      <c r="O490" s="195"/>
    </row>
    <row r="491" spans="1:17" ht="15.95" customHeight="1" x14ac:dyDescent="0.25">
      <c r="A491" s="121"/>
      <c r="B491" s="23"/>
      <c r="C491" s="58"/>
      <c r="D491" s="664"/>
      <c r="E491" s="665"/>
      <c r="F491" s="483"/>
      <c r="G491" s="484"/>
      <c r="H491" s="645" t="s">
        <v>29</v>
      </c>
      <c r="I491" s="646"/>
      <c r="J491" s="40">
        <f>+$D$507</f>
        <v>44011</v>
      </c>
      <c r="K491" s="24"/>
      <c r="L491" s="24"/>
      <c r="M491" s="24"/>
      <c r="N491" s="25"/>
      <c r="O491" s="195"/>
    </row>
    <row r="492" spans="1:17" ht="15.95" customHeight="1" x14ac:dyDescent="0.25">
      <c r="A492" s="121"/>
      <c r="B492" s="23"/>
      <c r="C492" s="59" t="s">
        <v>25</v>
      </c>
      <c r="D492" s="658"/>
      <c r="E492" s="659"/>
      <c r="F492" s="483"/>
      <c r="G492" s="484"/>
      <c r="H492" s="649" t="s">
        <v>30</v>
      </c>
      <c r="I492" s="650"/>
      <c r="J492" s="42" t="str">
        <f t="array" ref="J492">+IF(H501&gt;=$M$4,MIN(IF($H$496:$H$502&gt;=$M$4,$H$496:$H$502,"")),"vencida")</f>
        <v>vencida</v>
      </c>
      <c r="K492" s="24"/>
      <c r="L492" s="24"/>
      <c r="M492" s="24"/>
      <c r="N492" s="25"/>
      <c r="O492" s="195"/>
    </row>
    <row r="493" spans="1:17" ht="15.95" customHeight="1" x14ac:dyDescent="0.25">
      <c r="A493" s="121"/>
      <c r="B493" s="23"/>
      <c r="C493" s="59" t="s">
        <v>6</v>
      </c>
      <c r="D493" s="658" t="s">
        <v>102</v>
      </c>
      <c r="E493" s="659"/>
      <c r="F493" s="483"/>
      <c r="G493" s="484"/>
      <c r="H493" s="24"/>
      <c r="I493" s="24"/>
      <c r="J493" s="24"/>
      <c r="K493" s="24"/>
      <c r="L493" s="24"/>
      <c r="M493" s="24"/>
      <c r="N493" s="25"/>
      <c r="O493" s="195"/>
    </row>
    <row r="494" spans="1:17" ht="15.95" customHeight="1" x14ac:dyDescent="0.25">
      <c r="A494" s="121"/>
      <c r="B494" s="23"/>
      <c r="C494" s="59" t="s">
        <v>8</v>
      </c>
      <c r="D494" s="658" t="s">
        <v>17</v>
      </c>
      <c r="E494" s="659"/>
      <c r="F494" s="483"/>
      <c r="G494" s="484"/>
      <c r="H494" s="651" t="s">
        <v>41</v>
      </c>
      <c r="I494" s="652"/>
      <c r="J494" s="652"/>
      <c r="K494" s="652"/>
      <c r="L494" s="653"/>
      <c r="M494" s="24"/>
      <c r="N494" s="25"/>
      <c r="O494" s="197">
        <f>+M532</f>
        <v>-5000000</v>
      </c>
      <c r="P494" s="197">
        <f>-M532</f>
        <v>5000000</v>
      </c>
      <c r="Q494" s="197"/>
    </row>
    <row r="495" spans="1:17" ht="15.95" customHeight="1" x14ac:dyDescent="0.25">
      <c r="A495" s="121"/>
      <c r="B495" s="23"/>
      <c r="C495" s="59" t="s">
        <v>33</v>
      </c>
      <c r="D495" s="73" t="s">
        <v>328</v>
      </c>
      <c r="E495" s="273">
        <v>1</v>
      </c>
      <c r="F495" s="483">
        <f>+E495*J490</f>
        <v>0</v>
      </c>
      <c r="G495" s="484"/>
      <c r="H495" s="81" t="s">
        <v>0</v>
      </c>
      <c r="I495" s="82" t="s">
        <v>2</v>
      </c>
      <c r="J495" s="82" t="s">
        <v>3</v>
      </c>
      <c r="K495" s="82" t="s">
        <v>4</v>
      </c>
      <c r="L495" s="83" t="s">
        <v>5</v>
      </c>
      <c r="M495" s="82" t="s">
        <v>44</v>
      </c>
      <c r="N495" s="25"/>
      <c r="O495" s="197">
        <f>+M533+O494</f>
        <v>-2962486.979166667</v>
      </c>
      <c r="P495" s="197">
        <f>+(M533/(1+$J$541)^((H533-$H$532)/365))/$P$494</f>
        <v>0.40750260416666667</v>
      </c>
      <c r="Q495" s="197">
        <f>+P495*((H533-$H$532)/365)</f>
        <v>0.20430952482876716</v>
      </c>
    </row>
    <row r="496" spans="1:17" ht="15.95" customHeight="1" x14ac:dyDescent="0.25">
      <c r="A496" s="121"/>
      <c r="B496" s="23"/>
      <c r="C496" s="59" t="s">
        <v>34</v>
      </c>
      <c r="D496" s="658" t="s">
        <v>48</v>
      </c>
      <c r="E496" s="659"/>
      <c r="F496" s="483"/>
      <c r="G496" s="484"/>
      <c r="H496" s="45"/>
      <c r="I496" s="46"/>
      <c r="J496" s="46"/>
      <c r="K496" s="46"/>
      <c r="L496" s="47"/>
      <c r="M496" s="23"/>
      <c r="N496" s="25"/>
      <c r="O496" s="197">
        <f>+M534+O495</f>
        <v>-919963.10763888946</v>
      </c>
      <c r="P496" s="197">
        <f>+(M534/(1+$J$541)^((H534-$H$532)/365))/$P$494</f>
        <v>0.40850477430555548</v>
      </c>
      <c r="Q496" s="197">
        <f>+P496*((H534-$H$532)/365)</f>
        <v>0.40850477430555548</v>
      </c>
    </row>
    <row r="497" spans="1:17" ht="15.95" customHeight="1" x14ac:dyDescent="0.25">
      <c r="A497" s="121"/>
      <c r="B497" s="23"/>
      <c r="C497" s="79" t="s">
        <v>38</v>
      </c>
      <c r="D497" s="75"/>
      <c r="E497" s="76"/>
      <c r="F497" s="483"/>
      <c r="G497" s="484"/>
      <c r="H497" s="48">
        <f>+$D$506</f>
        <v>43553</v>
      </c>
      <c r="I497" s="70"/>
      <c r="J497" s="49"/>
      <c r="K497" s="49"/>
      <c r="L497" s="50">
        <f>+D508</f>
        <v>1000000</v>
      </c>
      <c r="M497" s="93">
        <f>-L497</f>
        <v>-1000000</v>
      </c>
      <c r="N497" s="25"/>
      <c r="O497" s="197">
        <f>+M535+O496</f>
        <v>833886.71874999953</v>
      </c>
      <c r="P497" s="197">
        <f>+(M535/(1+$J$541)^((H535-$H$532)/365))/$P$494</f>
        <v>0.35076996527777782</v>
      </c>
      <c r="Q497" s="197">
        <f>+P497*((H535-$H$532)/365)</f>
        <v>0.52855748192541863</v>
      </c>
    </row>
    <row r="498" spans="1:17" ht="15.95" customHeight="1" x14ac:dyDescent="0.25">
      <c r="A498" s="121"/>
      <c r="B498" s="23"/>
      <c r="C498" s="59"/>
      <c r="D498" s="73"/>
      <c r="E498" s="74"/>
      <c r="F498" s="483"/>
      <c r="G498" s="484"/>
      <c r="H498" s="51">
        <f>IF(DAY(H497)=DAY($H$497),IF(WEEKDAY(EDATE(H497,$D$509),3)&lt;5,EDATE(H497,$D$509),WORKDAY(EDATE(H497,$D$509),1)),IF(WEEKDAY(EDATE($H$497,$D$509*COUNT($H$497:H497)),3)&lt;5,EDATE($H$497,$D$509*COUNT($H$497:H497)),WORKDAY(EDATE($H$497,$D$509*COUNT($H$497:H497)),1)))</f>
        <v>43738</v>
      </c>
      <c r="I498" s="71" t="s">
        <v>7</v>
      </c>
      <c r="J498" s="52">
        <f>(IF(AND($D$512&lt;&gt;"",$D$512&gt;(AVERAGE(VLOOKUP(WORKDAY.INTL(H498,-7,1,),'Tasas-TC'!A:B,2,FALSE),VLOOKUP(WORKDAY.INTL(H497,-7,1,),'Tasas-TC'!A:B,2,FALSE))+$D$511)),$D$512,IF(AND($D$513&lt;&gt;"",$D$513&lt;(AVERAGE(VLOOKUP(WORKDAY.INTL(H498,-7,1,),'Tasas-TC'!A:B,2,FALSE),VLOOKUP(WORKDAY.INTL(H497,-7,1,),'Tasas-TC'!A:B,2,FALSE))+$D$511)),$D$513,(AVERAGE(VLOOKUP(WORKDAY.INTL(H498,-7,1,),'Tasas-TC'!A:B,2,FALSE),VLOOKUP(WORKDAY.INTL(H497,-7,1,),'Tasas-TC'!A:B,2,FALSE))+$D$511)))/360)*(H498-H497)*L497</f>
        <v>294040.79861111118</v>
      </c>
      <c r="K498" s="52">
        <f>+IF(OR(I498="A + C",I498="A"),$D$508*$D$514,0)</f>
        <v>0</v>
      </c>
      <c r="L498" s="53">
        <f>+L497-K498</f>
        <v>1000000</v>
      </c>
      <c r="M498" s="94">
        <f>+J498+K498</f>
        <v>294040.79861111118</v>
      </c>
      <c r="N498" s="25"/>
      <c r="O498" s="197">
        <f>+M536+O497</f>
        <v>2211684.0277777771</v>
      </c>
      <c r="P498" s="197">
        <f>+(M536/(1+$J$541)^((H536-$H$532)/365))/$P$494</f>
        <v>0.27555946180555552</v>
      </c>
      <c r="Q498" s="197">
        <f>+P498*((H536-$H$532)/365)</f>
        <v>0.55262883847031963</v>
      </c>
    </row>
    <row r="499" spans="1:17" ht="15.95" customHeight="1" x14ac:dyDescent="0.25">
      <c r="A499" s="121"/>
      <c r="B499" s="23"/>
      <c r="C499" s="60"/>
      <c r="D499" s="77"/>
      <c r="E499" s="78"/>
      <c r="F499" s="483"/>
      <c r="G499" s="484"/>
      <c r="H499" s="51">
        <f>IF(DAY(H498)=DAY($H$497),IF(WEEKDAY(EDATE(H498,$D$509),3)&lt;5,EDATE(H498,$D$509),WORKDAY(EDATE(H498,$D$509),1)),IF(WEEKDAY(EDATE($H$497,$D$509*COUNT($H$497:H498)),3)&lt;5,EDATE($H$497,$D$509*COUNT($H$497:H498)),WORKDAY(EDATE($H$497,$D$509*COUNT($H$497:H498)),1)))</f>
        <v>43920</v>
      </c>
      <c r="I499" s="71" t="s">
        <v>13</v>
      </c>
      <c r="J499" s="52">
        <f>(IF(AND($D$512&lt;&gt;"",$D$512&gt;(AVERAGE(VLOOKUP(WORKDAY.INTL(H499,-7,1,),'Tasas-TC'!A:B,2,FALSE),VLOOKUP(WORKDAY.INTL(H498,-7,1,),'Tasas-TC'!A:B,2,FALSE))+$D$511)),$D$512,IF(AND($D$513&lt;&gt;"",$D$513&lt;(AVERAGE(VLOOKUP(WORKDAY.INTL(H499,-7,1,),'Tasas-TC'!A:B,2,FALSE),VLOOKUP(WORKDAY.INTL(H498,-7,1,),'Tasas-TC'!A:B,2,FALSE))+$D$511)),$D$513,(AVERAGE(VLOOKUP(WORKDAY.INTL(H499,-7,1,),'Tasas-TC'!A:B,2,FALSE),VLOOKUP(WORKDAY.INTL(H498,-7,1,),'Tasas-TC'!A:B,2,FALSE))+$D$511)))/360)*(H499-H498)*L498</f>
        <v>257043.40277777775</v>
      </c>
      <c r="K499" s="52">
        <f>+IF(OR(I499="A + C",I499="A"),$D$508*$D$514,0)</f>
        <v>500000</v>
      </c>
      <c r="L499" s="53">
        <f>+L498-K499</f>
        <v>500000</v>
      </c>
      <c r="M499" s="94">
        <f>+J499+K499</f>
        <v>757043.40277777775</v>
      </c>
      <c r="N499" s="25"/>
      <c r="O499" s="197">
        <f>+M537+O498</f>
        <v>4634454.8611111101</v>
      </c>
      <c r="P499" s="197">
        <f>+(M537/(1+$J$541)^((H537-$H$532)/365))/$P$494</f>
        <v>0.48455416666666667</v>
      </c>
      <c r="Q499" s="197">
        <f>+P499*((H537-$H$532)/365)</f>
        <v>1.2133767351598175</v>
      </c>
    </row>
    <row r="500" spans="1:17" ht="15.95" customHeight="1" x14ac:dyDescent="0.25">
      <c r="A500" s="121"/>
      <c r="B500" s="23"/>
      <c r="C500" s="60"/>
      <c r="D500" s="55" t="str">
        <f>+B488</f>
        <v>Bioetanol Rio Cuarto I</v>
      </c>
      <c r="E500" s="64"/>
      <c r="F500" s="483"/>
      <c r="G500" s="484">
        <f>+J490</f>
        <v>0</v>
      </c>
      <c r="H500" s="51">
        <f>IF(DAY(H499)=DAY($H$497),IF(WEEKDAY(EDATE(H499,$D$509),3)&lt;5,EDATE(H499,$D$509),WORKDAY(EDATE(H499,$D$509),1)),IF(WEEKDAY(EDATE($H$497,$D$509*COUNT($H$497:H499)),3)&lt;5,EDATE($H$497,$D$509*COUNT($H$497:H499)),WORKDAY(EDATE($H$497,$D$509*COUNT($H$497:H499)),1)))</f>
        <v>44103</v>
      </c>
      <c r="I500" s="71" t="s">
        <v>7</v>
      </c>
      <c r="J500" s="52">
        <f>(IF(AND($D$512&lt;&gt;"",$D$512&gt;(AVERAGE(VLOOKUP(WORKDAY.INTL(H500,-7,1,),'Tasas-TC'!A:B,2,FALSE),VLOOKUP(WORKDAY.INTL(H499,-7,1,),'Tasas-TC'!A:B,2,FALSE))+$D$511)),$D$512,IF(AND($D$513&lt;&gt;"",$D$513&lt;(AVERAGE(VLOOKUP(WORKDAY.INTL(H500,-7,1,),'Tasas-TC'!A:B,2,FALSE),VLOOKUP(WORKDAY.INTL(H499,-7,1,),'Tasas-TC'!A:B,2,FALSE))+$D$511)),$D$513,(AVERAGE(VLOOKUP(WORKDAY.INTL(H500,-7,1,),'Tasas-TC'!A:B,2,FALSE),VLOOKUP(WORKDAY.INTL(H499,-7,1,),'Tasas-TC'!A:B,2,FALSE))+$D$511)))/360)*(H500-H499)*L499</f>
        <v>91102.864583333328</v>
      </c>
      <c r="K500" s="52">
        <f>+IF(OR(I500="A + C",I500="A"),$D$508*$D$514,0)</f>
        <v>0</v>
      </c>
      <c r="L500" s="53">
        <f>+L499-K500</f>
        <v>500000</v>
      </c>
      <c r="M500" s="94">
        <f>+J500+K500</f>
        <v>91102.864583333328</v>
      </c>
      <c r="N500" s="25"/>
      <c r="O500" s="197"/>
      <c r="P500" s="197"/>
      <c r="Q500" s="197"/>
    </row>
    <row r="501" spans="1:17" ht="15.95" customHeight="1" x14ac:dyDescent="0.25">
      <c r="A501" s="121"/>
      <c r="B501" s="32"/>
      <c r="D501" s="644"/>
      <c r="E501" s="660"/>
      <c r="F501" s="483"/>
      <c r="G501" s="484"/>
      <c r="H501" s="51">
        <f>IF(DAY(H500)=DAY($H$497),IF(WEEKDAY(EDATE(H500,$D$509),3)&lt;5,EDATE(H500,$D$509),WORKDAY(EDATE(H500,$D$509),1)),IF(WEEKDAY(EDATE($H$497,$D$509*COUNT($H$497:H500)),3)&lt;5,EDATE($H$497,$D$509*COUNT($H$497:H500)),WORKDAY(EDATE($H$497,$D$509*COUNT($H$497:H500)),1)))</f>
        <v>44284</v>
      </c>
      <c r="I501" s="71" t="s">
        <v>13</v>
      </c>
      <c r="J501" s="52">
        <f>(IF(AND($D$512&lt;&gt;"",$D$512&gt;(AVERAGE(VLOOKUP(WORKDAY.INTL(H501,-7,1,),'Tasas-TC'!A:B,2,FALSE),VLOOKUP(WORKDAY.INTL(H500,-7,1,),'Tasas-TC'!A:B,2,FALSE))+$D$511)),$D$512,IF(AND($D$513&lt;&gt;"",$D$513&lt;(AVERAGE(VLOOKUP(WORKDAY.INTL(H501,-7,1,),'Tasas-TC'!A:B,2,FALSE),VLOOKUP(WORKDAY.INTL(H500,-7,1,),'Tasas-TC'!A:B,2,FALSE))+$D$511)),$D$513,(AVERAGE(VLOOKUP(WORKDAY.INTL(H501,-7,1,),'Tasas-TC'!A:B,2,FALSE),VLOOKUP(WORKDAY.INTL(H500,-7,1,),'Tasas-TC'!A:B,2,FALSE))+$D$511)))/360)*(H501-H500)*L500</f>
        <v>96077.690972222234</v>
      </c>
      <c r="K501" s="52">
        <f>+IF(OR(I501="A + C",I501="A"),$D$508*$D$514,0)</f>
        <v>500000</v>
      </c>
      <c r="L501" s="53">
        <f>+L500-K501</f>
        <v>0</v>
      </c>
      <c r="M501" s="94">
        <f>+J501+K501</f>
        <v>596077.69097222225</v>
      </c>
      <c r="N501" s="25"/>
      <c r="O501" s="197"/>
      <c r="P501" s="29"/>
    </row>
    <row r="502" spans="1:17" ht="15.95" customHeight="1" x14ac:dyDescent="0.25">
      <c r="A502" s="121"/>
      <c r="B502" s="23"/>
      <c r="C502" s="638" t="s">
        <v>36</v>
      </c>
      <c r="D502" s="640"/>
      <c r="E502" s="36"/>
      <c r="F502" s="483"/>
      <c r="G502" s="484"/>
      <c r="H502" s="54"/>
      <c r="I502" s="61"/>
      <c r="J502" s="55"/>
      <c r="K502" s="56"/>
      <c r="L502" s="57"/>
      <c r="M502" s="109"/>
      <c r="N502" s="25"/>
      <c r="O502" s="197"/>
      <c r="P502" s="29"/>
    </row>
    <row r="503" spans="1:17" ht="15.95" customHeight="1" x14ac:dyDescent="0.25">
      <c r="A503" s="121"/>
      <c r="B503" s="23"/>
      <c r="C503" s="59"/>
      <c r="D503" s="62"/>
      <c r="E503" s="36"/>
      <c r="F503" s="483"/>
      <c r="G503" s="484"/>
      <c r="H503" s="35"/>
      <c r="I503" s="35"/>
      <c r="J503" s="35"/>
      <c r="K503" s="109"/>
      <c r="L503" s="109"/>
      <c r="M503" s="109"/>
      <c r="N503" s="25"/>
      <c r="O503" s="197"/>
      <c r="P503" s="29"/>
    </row>
    <row r="504" spans="1:17" ht="15.95" customHeight="1" x14ac:dyDescent="0.25">
      <c r="A504" s="121"/>
      <c r="B504" s="23"/>
      <c r="C504" s="59" t="s">
        <v>9</v>
      </c>
      <c r="D504" s="98" t="s">
        <v>18</v>
      </c>
      <c r="E504" s="36"/>
      <c r="F504" s="483"/>
      <c r="G504" s="484"/>
      <c r="H504" s="656" t="s">
        <v>43</v>
      </c>
      <c r="I504" s="656"/>
      <c r="J504" s="92">
        <v>0</v>
      </c>
      <c r="K504" s="92"/>
      <c r="L504" s="24"/>
      <c r="M504" s="24"/>
      <c r="N504" s="25"/>
      <c r="O504" s="197"/>
    </row>
    <row r="505" spans="1:17" ht="15.95" customHeight="1" x14ac:dyDescent="0.25">
      <c r="A505" s="121"/>
      <c r="B505" s="23"/>
      <c r="C505" s="59" t="s">
        <v>10</v>
      </c>
      <c r="D505" s="65">
        <v>43551</v>
      </c>
      <c r="E505" s="36"/>
      <c r="F505" s="483"/>
      <c r="G505" s="484"/>
      <c r="H505" s="657"/>
      <c r="I505" s="657"/>
      <c r="J505" s="392"/>
      <c r="K505" s="24"/>
      <c r="L505" s="33"/>
      <c r="M505" s="33"/>
      <c r="N505" s="25"/>
      <c r="O505" s="197"/>
      <c r="P505" s="37"/>
    </row>
    <row r="506" spans="1:17" ht="15.95" customHeight="1" x14ac:dyDescent="0.25">
      <c r="A506" s="121"/>
      <c r="B506" s="23"/>
      <c r="C506" s="59" t="s">
        <v>11</v>
      </c>
      <c r="D506" s="65">
        <v>43553</v>
      </c>
      <c r="E506" s="36"/>
      <c r="F506" s="483"/>
      <c r="G506" s="484"/>
      <c r="H506" s="24"/>
      <c r="I506" s="24"/>
      <c r="J506" s="24"/>
      <c r="K506" s="24"/>
      <c r="L506" s="24"/>
      <c r="M506" s="24"/>
      <c r="N506" s="25"/>
      <c r="O506" s="197"/>
    </row>
    <row r="507" spans="1:17" ht="15.95" customHeight="1" x14ac:dyDescent="0.25">
      <c r="A507" s="121"/>
      <c r="B507" s="23"/>
      <c r="C507" s="59" t="s">
        <v>12</v>
      </c>
      <c r="D507" s="65">
        <v>44011</v>
      </c>
      <c r="E507" s="36"/>
      <c r="F507" s="483"/>
      <c r="G507" s="484"/>
      <c r="H507" s="638" t="s">
        <v>44</v>
      </c>
      <c r="I507" s="639"/>
      <c r="J507" s="639"/>
      <c r="K507" s="639"/>
      <c r="L507" s="639"/>
      <c r="M507" s="640"/>
      <c r="N507" s="25"/>
      <c r="O507" s="195"/>
    </row>
    <row r="508" spans="1:17" ht="15.95" customHeight="1" x14ac:dyDescent="0.25">
      <c r="A508" s="121"/>
      <c r="B508" s="23"/>
      <c r="C508" s="59" t="s">
        <v>27</v>
      </c>
      <c r="D508" s="66">
        <v>1000000</v>
      </c>
      <c r="E508" s="41"/>
      <c r="F508" s="480"/>
      <c r="G508" s="484"/>
      <c r="H508" s="23"/>
      <c r="I508" s="24"/>
      <c r="J508" s="24"/>
      <c r="K508" s="24"/>
      <c r="L508" s="24"/>
      <c r="M508" s="25"/>
      <c r="N508" s="25"/>
      <c r="O508" s="195"/>
    </row>
    <row r="509" spans="1:17" ht="15.95" customHeight="1" x14ac:dyDescent="0.25">
      <c r="A509" s="121"/>
      <c r="B509" s="23"/>
      <c r="C509" s="59" t="s">
        <v>26</v>
      </c>
      <c r="D509" s="66">
        <v>6</v>
      </c>
      <c r="E509" s="36"/>
      <c r="F509" s="480"/>
      <c r="G509" s="484"/>
      <c r="H509" s="23"/>
      <c r="I509" s="24"/>
      <c r="J509" s="24"/>
      <c r="K509" s="24"/>
      <c r="L509" s="24"/>
      <c r="M509" s="25"/>
      <c r="N509" s="25"/>
      <c r="O509" s="195"/>
    </row>
    <row r="510" spans="1:17" ht="15.95" customHeight="1" x14ac:dyDescent="0.25">
      <c r="A510" s="121"/>
      <c r="B510" s="23"/>
      <c r="C510" s="59" t="s">
        <v>19</v>
      </c>
      <c r="D510" s="67" t="s">
        <v>20</v>
      </c>
      <c r="E510" s="43"/>
      <c r="F510" s="480"/>
      <c r="G510" s="484"/>
      <c r="H510" s="96"/>
      <c r="I510" s="35"/>
      <c r="J510" s="24"/>
      <c r="K510" s="24"/>
      <c r="L510" s="24"/>
      <c r="M510" s="25"/>
      <c r="N510" s="25"/>
      <c r="O510" s="195"/>
    </row>
    <row r="511" spans="1:17" ht="15.95" customHeight="1" x14ac:dyDescent="0.25">
      <c r="A511" s="121"/>
      <c r="B511" s="23"/>
      <c r="C511" s="59" t="s">
        <v>14</v>
      </c>
      <c r="D511" s="68">
        <v>6.25E-2</v>
      </c>
      <c r="E511" s="43"/>
      <c r="F511" s="480"/>
      <c r="G511" s="484"/>
      <c r="H511" s="23"/>
      <c r="I511" s="24"/>
      <c r="J511" s="24"/>
      <c r="K511" s="24"/>
      <c r="L511" s="24"/>
      <c r="M511" s="25"/>
      <c r="N511" s="25"/>
      <c r="O511" s="195"/>
    </row>
    <row r="512" spans="1:17" ht="15.95" customHeight="1" x14ac:dyDescent="0.25">
      <c r="A512" s="121"/>
      <c r="B512" s="23"/>
      <c r="C512" s="59" t="s">
        <v>31</v>
      </c>
      <c r="D512" s="68"/>
      <c r="E512" s="43"/>
      <c r="F512" s="480"/>
      <c r="G512" s="484"/>
      <c r="H512" s="23"/>
      <c r="I512" s="24"/>
      <c r="J512" s="24"/>
      <c r="K512" s="24"/>
      <c r="L512" s="24"/>
      <c r="M512" s="25"/>
      <c r="N512" s="25"/>
      <c r="O512" s="195"/>
    </row>
    <row r="513" spans="1:15" ht="15.95" customHeight="1" x14ac:dyDescent="0.25">
      <c r="A513" s="121"/>
      <c r="B513" s="23"/>
      <c r="C513" s="59" t="s">
        <v>32</v>
      </c>
      <c r="D513" s="68"/>
      <c r="E513" s="44"/>
      <c r="F513" s="480"/>
      <c r="G513" s="484"/>
      <c r="H513" s="23"/>
      <c r="I513" s="24"/>
      <c r="J513" s="24"/>
      <c r="K513" s="24"/>
      <c r="L513" s="24"/>
      <c r="M513" s="25"/>
      <c r="N513" s="25"/>
      <c r="O513" s="195"/>
    </row>
    <row r="514" spans="1:15" ht="15.95" customHeight="1" x14ac:dyDescent="0.25">
      <c r="A514" s="121"/>
      <c r="B514" s="23"/>
      <c r="C514" s="59" t="s">
        <v>81</v>
      </c>
      <c r="D514" s="68">
        <v>0.5</v>
      </c>
      <c r="E514" s="24"/>
      <c r="F514" s="480"/>
      <c r="G514" s="484"/>
      <c r="H514" s="23"/>
      <c r="I514" s="24"/>
      <c r="J514" s="24"/>
      <c r="K514" s="24"/>
      <c r="L514" s="24"/>
      <c r="M514" s="25"/>
      <c r="N514" s="25"/>
      <c r="O514" s="195"/>
    </row>
    <row r="515" spans="1:15" ht="15.95" customHeight="1" x14ac:dyDescent="0.25">
      <c r="A515" s="121"/>
      <c r="B515" s="23"/>
      <c r="C515" s="60"/>
      <c r="D515" s="119"/>
      <c r="E515" s="24"/>
      <c r="F515" s="480"/>
      <c r="G515" s="485"/>
      <c r="H515" s="23"/>
      <c r="I515" s="24"/>
      <c r="J515" s="24"/>
      <c r="K515" s="24"/>
      <c r="L515" s="24"/>
      <c r="M515" s="25"/>
      <c r="N515" s="25"/>
      <c r="O515" s="195"/>
    </row>
    <row r="516" spans="1:15" ht="15.95" customHeight="1" x14ac:dyDescent="0.25">
      <c r="A516" s="121"/>
      <c r="B516" s="23"/>
      <c r="C516" s="24"/>
      <c r="D516" s="24"/>
      <c r="E516" s="24"/>
      <c r="F516" s="480"/>
      <c r="G516" s="485"/>
      <c r="H516" s="23"/>
      <c r="I516" s="24"/>
      <c r="J516" s="24"/>
      <c r="K516" s="24"/>
      <c r="L516" s="24"/>
      <c r="M516" s="25"/>
      <c r="N516" s="25"/>
      <c r="O516" s="195"/>
    </row>
    <row r="517" spans="1:15" ht="15.95" customHeight="1" x14ac:dyDescent="0.25">
      <c r="A517" s="121"/>
      <c r="B517" s="23"/>
      <c r="C517" s="24"/>
      <c r="D517" s="24"/>
      <c r="E517" s="24"/>
      <c r="F517" s="480"/>
      <c r="G517" s="485"/>
      <c r="H517" s="23"/>
      <c r="I517" s="24"/>
      <c r="J517" s="24"/>
      <c r="K517" s="24"/>
      <c r="L517" s="24"/>
      <c r="M517" s="25"/>
      <c r="N517" s="25"/>
      <c r="O517" s="195"/>
    </row>
    <row r="518" spans="1:15" ht="15.95" customHeight="1" x14ac:dyDescent="0.25">
      <c r="A518" s="121"/>
      <c r="B518" s="23"/>
      <c r="C518" s="24"/>
      <c r="D518" s="24"/>
      <c r="E518" s="24"/>
      <c r="F518" s="480"/>
      <c r="G518" s="485"/>
      <c r="H518" s="23"/>
      <c r="I518" s="24"/>
      <c r="J518" s="24"/>
      <c r="K518" s="24"/>
      <c r="L518" s="24"/>
      <c r="M518" s="25"/>
      <c r="N518" s="25"/>
      <c r="O518" s="195"/>
    </row>
    <row r="519" spans="1:15" ht="15.95" customHeight="1" x14ac:dyDescent="0.25">
      <c r="A519" s="121"/>
      <c r="B519" s="23"/>
      <c r="C519" s="24"/>
      <c r="D519" s="24"/>
      <c r="E519" s="24"/>
      <c r="F519" s="480"/>
      <c r="G519" s="485"/>
      <c r="H519" s="23"/>
      <c r="I519" s="24"/>
      <c r="J519" s="24"/>
      <c r="K519" s="24"/>
      <c r="L519" s="24"/>
      <c r="M519" s="25"/>
      <c r="N519" s="25"/>
      <c r="O519" s="195"/>
    </row>
    <row r="520" spans="1:15" ht="15.95" customHeight="1" x14ac:dyDescent="0.25">
      <c r="A520" s="121"/>
      <c r="B520" s="23"/>
      <c r="C520" s="24"/>
      <c r="D520" s="24"/>
      <c r="E520" s="24"/>
      <c r="F520" s="480"/>
      <c r="G520" s="485"/>
      <c r="H520" s="26"/>
      <c r="I520" s="27"/>
      <c r="J520" s="27"/>
      <c r="K520" s="27"/>
      <c r="L520" s="27"/>
      <c r="M520" s="28"/>
      <c r="N520" s="25"/>
      <c r="O520" s="195"/>
    </row>
    <row r="521" spans="1:15" ht="20.100000000000001" customHeight="1" x14ac:dyDescent="0.25">
      <c r="A521" s="121"/>
      <c r="B521" s="26"/>
      <c r="C521" s="27"/>
      <c r="D521" s="27"/>
      <c r="E521" s="27"/>
      <c r="F521" s="481"/>
      <c r="G521" s="486"/>
      <c r="H521" s="27"/>
      <c r="I521" s="27"/>
      <c r="J521" s="27"/>
      <c r="K521" s="27"/>
      <c r="L521" s="27"/>
      <c r="M521" s="27"/>
      <c r="N521" s="28"/>
      <c r="O521" s="195"/>
    </row>
    <row r="522" spans="1:15" ht="15.95" customHeight="1" x14ac:dyDescent="0.25">
      <c r="A522" s="121"/>
      <c r="B522" s="23"/>
      <c r="C522" s="24"/>
      <c r="D522" s="24"/>
      <c r="E522" s="24"/>
      <c r="F522" s="480"/>
      <c r="G522" s="480"/>
      <c r="H522" s="24"/>
      <c r="I522" s="24"/>
      <c r="J522" s="24"/>
      <c r="K522" s="24"/>
      <c r="L522" s="24"/>
      <c r="M522" s="24"/>
      <c r="N522" s="25"/>
      <c r="O522" s="195"/>
    </row>
    <row r="523" spans="1:15" ht="20.100000000000001" customHeight="1" x14ac:dyDescent="0.25">
      <c r="A523" s="121"/>
      <c r="B523" s="661" t="s">
        <v>103</v>
      </c>
      <c r="C523" s="662"/>
      <c r="D523" s="662"/>
      <c r="E523" s="662"/>
      <c r="F523" s="662"/>
      <c r="G523" s="662"/>
      <c r="H523" s="662"/>
      <c r="I523" s="662"/>
      <c r="J523" s="662"/>
      <c r="K523" s="662"/>
      <c r="L523" s="662"/>
      <c r="M523" s="662"/>
      <c r="N523" s="663"/>
      <c r="O523" s="195"/>
    </row>
    <row r="524" spans="1:15" ht="15.95" customHeight="1" x14ac:dyDescent="0.25">
      <c r="A524" s="121"/>
      <c r="B524" s="23"/>
      <c r="C524" s="24"/>
      <c r="D524" s="24"/>
      <c r="E524" s="24"/>
      <c r="F524" s="483"/>
      <c r="G524" s="484"/>
      <c r="H524" s="31"/>
      <c r="I524" s="31"/>
      <c r="J524" s="24"/>
      <c r="K524" s="24"/>
      <c r="L524" s="24"/>
      <c r="M524" s="24"/>
      <c r="N524" s="25"/>
      <c r="O524" s="195"/>
    </row>
    <row r="525" spans="1:15" ht="15.95" customHeight="1" x14ac:dyDescent="0.25">
      <c r="A525" s="121"/>
      <c r="B525" s="23"/>
      <c r="C525" s="638" t="s">
        <v>37</v>
      </c>
      <c r="D525" s="639"/>
      <c r="E525" s="640"/>
      <c r="F525" s="483"/>
      <c r="G525" s="484"/>
      <c r="H525" s="641" t="s">
        <v>28</v>
      </c>
      <c r="I525" s="642"/>
      <c r="J525" s="39">
        <f>+$D$543-SUMIF($H$531:$H$537,"&lt;"&amp;$M$4,$K$531:$K$537)</f>
        <v>0</v>
      </c>
      <c r="K525" s="24"/>
      <c r="L525" s="24"/>
      <c r="M525" s="24"/>
      <c r="N525" s="25"/>
      <c r="O525" s="194" t="str">
        <f>+D618</f>
        <v>ON Pyme CNV Garantizada</v>
      </c>
    </row>
    <row r="526" spans="1:15" ht="15.95" customHeight="1" x14ac:dyDescent="0.25">
      <c r="A526" s="121"/>
      <c r="B526" s="23"/>
      <c r="C526" s="58"/>
      <c r="D526" s="664"/>
      <c r="E526" s="665"/>
      <c r="F526" s="483"/>
      <c r="G526" s="484"/>
      <c r="H526" s="645" t="s">
        <v>29</v>
      </c>
      <c r="I526" s="646"/>
      <c r="J526" s="40">
        <f>+$D$542</f>
        <v>44375</v>
      </c>
      <c r="K526" s="24"/>
      <c r="L526" s="24"/>
      <c r="M526" s="24"/>
      <c r="N526" s="25"/>
      <c r="O526" s="195"/>
    </row>
    <row r="527" spans="1:15" ht="15.95" customHeight="1" x14ac:dyDescent="0.25">
      <c r="A527" s="121"/>
      <c r="B527" s="23"/>
      <c r="C527" s="59" t="s">
        <v>25</v>
      </c>
      <c r="D527" s="658"/>
      <c r="E527" s="659"/>
      <c r="F527" s="483"/>
      <c r="G527" s="484"/>
      <c r="H527" s="649" t="s">
        <v>30</v>
      </c>
      <c r="I527" s="650"/>
      <c r="J527" s="42" t="str">
        <f t="array" ref="J527">+IF(H537&gt;=$M$4,MIN(IF($H$532:$H$538&gt;=$M$4,$H$532:$H$538,"")),"vencida")</f>
        <v>vencida</v>
      </c>
      <c r="K527" s="24"/>
      <c r="L527" s="24"/>
      <c r="M527" s="24"/>
      <c r="N527" s="25"/>
      <c r="O527" s="194" t="str">
        <f>+IF(J616="vencida",IF(D618='Reporte - Oscuro'!$C$40,'Reporte - Oscuro'!$C$40&amp;" vencida",IF(D618='Reporte - Oscuro'!$C$41,'Reporte - Oscuro'!$C$41&amp;" vencida",IF(D618='Reporte - Oscuro'!$C$42,'Reporte - Oscuro'!$C$42&amp;" vencida",'Reporte - Oscuro'!$C$43&amp;" vencida"))),D618&amp;" vigente")</f>
        <v>ON Pyme CNV Garantizada vencida</v>
      </c>
    </row>
    <row r="528" spans="1:15" ht="15.95" customHeight="1" x14ac:dyDescent="0.25">
      <c r="A528" s="121"/>
      <c r="B528" s="23"/>
      <c r="C528" s="59" t="s">
        <v>6</v>
      </c>
      <c r="D528" s="658" t="s">
        <v>104</v>
      </c>
      <c r="E528" s="659"/>
      <c r="F528" s="483"/>
      <c r="G528" s="484"/>
      <c r="H528" s="24"/>
      <c r="I528" s="24"/>
      <c r="J528" s="24"/>
      <c r="K528" s="24"/>
      <c r="L528" s="24"/>
      <c r="M528" s="24"/>
      <c r="N528" s="25"/>
      <c r="O528" s="195"/>
    </row>
    <row r="529" spans="1:17" ht="15.95" customHeight="1" x14ac:dyDescent="0.25">
      <c r="A529" s="121"/>
      <c r="B529" s="23"/>
      <c r="C529" s="59" t="s">
        <v>8</v>
      </c>
      <c r="D529" s="658" t="s">
        <v>17</v>
      </c>
      <c r="E529" s="659"/>
      <c r="F529" s="483"/>
      <c r="G529" s="484"/>
      <c r="H529" s="651" t="s">
        <v>41</v>
      </c>
      <c r="I529" s="652"/>
      <c r="J529" s="652"/>
      <c r="K529" s="652"/>
      <c r="L529" s="653"/>
      <c r="M529" s="24"/>
      <c r="N529" s="25"/>
      <c r="O529" s="195"/>
    </row>
    <row r="530" spans="1:17" ht="15.95" customHeight="1" x14ac:dyDescent="0.25">
      <c r="A530" s="121"/>
      <c r="B530" s="23"/>
      <c r="C530" s="59" t="s">
        <v>33</v>
      </c>
      <c r="D530" s="73" t="s">
        <v>289</v>
      </c>
      <c r="E530" s="273">
        <v>1</v>
      </c>
      <c r="F530" s="483">
        <f>+E530*J525</f>
        <v>0</v>
      </c>
      <c r="G530" s="484"/>
      <c r="H530" s="81" t="s">
        <v>0</v>
      </c>
      <c r="I530" s="82" t="s">
        <v>2</v>
      </c>
      <c r="J530" s="82" t="s">
        <v>3</v>
      </c>
      <c r="K530" s="82" t="s">
        <v>4</v>
      </c>
      <c r="L530" s="83" t="s">
        <v>5</v>
      </c>
      <c r="M530" s="82" t="s">
        <v>44</v>
      </c>
      <c r="N530" s="25"/>
      <c r="O530" s="195"/>
    </row>
    <row r="531" spans="1:17" ht="15.95" customHeight="1" x14ac:dyDescent="0.25">
      <c r="A531" s="121"/>
      <c r="B531" s="23"/>
      <c r="C531" s="59" t="s">
        <v>34</v>
      </c>
      <c r="D531" s="658" t="s">
        <v>48</v>
      </c>
      <c r="E531" s="659"/>
      <c r="F531" s="483"/>
      <c r="G531" s="484"/>
      <c r="H531" s="45"/>
      <c r="I531" s="46"/>
      <c r="J531" s="46"/>
      <c r="K531" s="46"/>
      <c r="L531" s="47"/>
      <c r="M531" s="23"/>
      <c r="N531" s="25"/>
      <c r="O531" s="195"/>
    </row>
    <row r="532" spans="1:17" ht="15.95" customHeight="1" x14ac:dyDescent="0.25">
      <c r="A532" s="121"/>
      <c r="B532" s="23"/>
      <c r="C532" s="79" t="s">
        <v>38</v>
      </c>
      <c r="D532" s="75"/>
      <c r="E532" s="76"/>
      <c r="F532" s="483"/>
      <c r="G532" s="484"/>
      <c r="H532" s="48">
        <f>+$D$541</f>
        <v>43279</v>
      </c>
      <c r="I532" s="70"/>
      <c r="J532" s="49"/>
      <c r="K532" s="49"/>
      <c r="L532" s="50">
        <f>+D543</f>
        <v>5000000</v>
      </c>
      <c r="M532" s="93">
        <f>-L532</f>
        <v>-5000000</v>
      </c>
      <c r="N532" s="25"/>
      <c r="O532" s="197">
        <f>+M621</f>
        <v>-4000000</v>
      </c>
      <c r="P532" s="197">
        <f>-M621</f>
        <v>4000000</v>
      </c>
      <c r="Q532" s="197"/>
    </row>
    <row r="533" spans="1:17" ht="15.95" customHeight="1" x14ac:dyDescent="0.25">
      <c r="A533" s="121"/>
      <c r="B533" s="23"/>
      <c r="C533" s="59"/>
      <c r="D533" s="73"/>
      <c r="E533" s="74"/>
      <c r="F533" s="483"/>
      <c r="G533" s="484"/>
      <c r="H533" s="51">
        <f>IF(DAY(H532)=DAY($H$532),IF(WEEKDAY(EDATE(H532,$D$544),3)&lt;5,EDATE(H532,$D$544),WORKDAY(EDATE(H532,$D$544),1)),IF(WEEKDAY(EDATE($H$532,$D$544*COUNT($H$532:H532)),3)&lt;5,EDATE($H$532,$D$544*COUNT($H$532:H532)),WORKDAY(EDATE($H$532,$D$544*COUNT($H$532:H532)),1)))</f>
        <v>43462</v>
      </c>
      <c r="I533" s="71" t="s">
        <v>13</v>
      </c>
      <c r="J533" s="52">
        <f>(IF(AND($D$547&lt;&gt;"",$D$547&gt;(AVERAGE(VLOOKUP(WORKDAY.INTL(H533,-7,1,),'Tasas-TC'!A:B,2,FALSE),VLOOKUP(WORKDAY.INTL(H532,-7,1,),'Tasas-TC'!A:B,2,FALSE))+$D$546)),$D$547,IF(AND($D$548&lt;&gt;"",$D$548&lt;(AVERAGE(VLOOKUP(WORKDAY.INTL(H533,-7,1,),'Tasas-TC'!A:B,2,FALSE),VLOOKUP(WORKDAY.INTL(H532,-7,1,),'Tasas-TC'!A:B,2,FALSE))+$D$546)),$D$548,(AVERAGE(VLOOKUP(WORKDAY.INTL(H533,-7,1,),'Tasas-TC'!A:B,2,FALSE),VLOOKUP(WORKDAY.INTL(H532,-7,1,),'Tasas-TC'!A:B,2,FALSE))+$D$546)))/360)*(H533-H532)*L532</f>
        <v>1287513.0208333333</v>
      </c>
      <c r="K533" s="52">
        <f>+IF(OR(I533="A + C",I533="A"),$D$543*$D$549,0)</f>
        <v>750000</v>
      </c>
      <c r="L533" s="53">
        <f>+L532-K533</f>
        <v>4250000</v>
      </c>
      <c r="M533" s="94">
        <f>+J533+K533</f>
        <v>2037513.0208333333</v>
      </c>
      <c r="N533" s="25"/>
      <c r="O533" s="197">
        <f t="shared" ref="O533:O544" si="49">+M622+O532</f>
        <v>-3450000</v>
      </c>
      <c r="P533" s="197">
        <f t="shared" ref="P533:P544" si="50">+(M622/(1+$J$637)^((H622-$H$621)/365))/$P$532</f>
        <v>0.13749999999999998</v>
      </c>
      <c r="Q533" s="197">
        <f t="shared" ref="Q533:Q544" si="51">+P533*((H622-$H$621)/365)</f>
        <v>3.3904109589041088E-2</v>
      </c>
    </row>
    <row r="534" spans="1:17" ht="15.95" customHeight="1" x14ac:dyDescent="0.25">
      <c r="A534" s="121"/>
      <c r="B534" s="23"/>
      <c r="C534" s="60"/>
      <c r="D534" s="77"/>
      <c r="E534" s="78"/>
      <c r="F534" s="483"/>
      <c r="G534" s="484"/>
      <c r="H534" s="51">
        <f>IF(DAY(H533)=DAY($H$532),IF(WEEKDAY(EDATE(H533,$D$544),3)&lt;5,EDATE(H533,$D$544),WORKDAY(EDATE(H533,$D$544),1)),IF(WEEKDAY(EDATE($H$532,$D$544*COUNT($H$532:H533)),3)&lt;5,EDATE($H$532,$D$544*COUNT($H$532:H533)),WORKDAY(EDATE($H$532,$D$544*COUNT($H$532:H533)),1)))</f>
        <v>43644</v>
      </c>
      <c r="I534" s="71" t="s">
        <v>13</v>
      </c>
      <c r="J534" s="52">
        <f>(IF(AND($D$547&lt;&gt;"",$D$547&gt;(AVERAGE(VLOOKUP(WORKDAY.INTL(H534,-7,1,),'Tasas-TC'!A:B,2,FALSE),VLOOKUP(WORKDAY.INTL(H533,-7,1,),'Tasas-TC'!A:B,2,FALSE))+$D$546)),$D$547,IF(AND($D$548&lt;&gt;"",$D$548&lt;(AVERAGE(VLOOKUP(WORKDAY.INTL(H534,-7,1,),'Tasas-TC'!A:B,2,FALSE),VLOOKUP(WORKDAY.INTL(H533,-7,1,),'Tasas-TC'!A:B,2,FALSE))+$D$546)),$D$548,(AVERAGE(VLOOKUP(WORKDAY.INTL(H534,-7,1,),'Tasas-TC'!A:B,2,FALSE),VLOOKUP(WORKDAY.INTL(H533,-7,1,),'Tasas-TC'!A:B,2,FALSE))+$D$546)))/360)*(H534-H533)*L533</f>
        <v>1292523.8715277775</v>
      </c>
      <c r="K534" s="52">
        <f>+IF(OR(I534="A + C",I534="A"),$D$543*$D$549,0)</f>
        <v>750000</v>
      </c>
      <c r="L534" s="53">
        <f>+L533-K534</f>
        <v>3500000</v>
      </c>
      <c r="M534" s="94">
        <f>+J534+K534</f>
        <v>2042523.8715277775</v>
      </c>
      <c r="N534" s="25"/>
      <c r="O534" s="197">
        <f t="shared" si="49"/>
        <v>-2885357.638888889</v>
      </c>
      <c r="P534" s="197">
        <f t="shared" si="50"/>
        <v>0.14116059027777778</v>
      </c>
      <c r="Q534" s="197">
        <f t="shared" si="51"/>
        <v>7.0000183124048709E-2</v>
      </c>
    </row>
    <row r="535" spans="1:17" ht="15.95" customHeight="1" x14ac:dyDescent="0.25">
      <c r="A535" s="121"/>
      <c r="B535" s="23"/>
      <c r="C535" s="60"/>
      <c r="D535" s="55" t="str">
        <f>+B523</f>
        <v>Bronway Technology I</v>
      </c>
      <c r="E535" s="64"/>
      <c r="F535" s="483"/>
      <c r="G535" s="484">
        <f>+J525</f>
        <v>0</v>
      </c>
      <c r="H535" s="51">
        <f>IF(DAY(H534)=DAY($H$532),IF(WEEKDAY(EDATE(H534,$D$544),3)&lt;5,EDATE(H534,$D$544),WORKDAY(EDATE(H534,$D$544),1)),IF(WEEKDAY(EDATE($H$532,$D$544*COUNT($H$532:H534)),3)&lt;5,EDATE($H$532,$D$544*COUNT($H$532:H534)),WORKDAY(EDATE($H$532,$D$544*COUNT($H$532:H534)),1)))</f>
        <v>43829</v>
      </c>
      <c r="I535" s="71" t="s">
        <v>13</v>
      </c>
      <c r="J535" s="52">
        <f>(IF(AND($D$547&lt;&gt;"",$D$547&gt;(AVERAGE(VLOOKUP(WORKDAY.INTL(H535,-7,1,),'Tasas-TC'!A:B,2,FALSE),VLOOKUP(WORKDAY.INTL(H534,-7,1,),'Tasas-TC'!A:B,2,FALSE))+$D$546)),$D$547,IF(AND($D$548&lt;&gt;"",$D$548&lt;(AVERAGE(VLOOKUP(WORKDAY.INTL(H535,-7,1,),'Tasas-TC'!A:B,2,FALSE),VLOOKUP(WORKDAY.INTL(H534,-7,1,),'Tasas-TC'!A:B,2,FALSE))+$D$546)),$D$548,(AVERAGE(VLOOKUP(WORKDAY.INTL(H535,-7,1,),'Tasas-TC'!A:B,2,FALSE),VLOOKUP(WORKDAY.INTL(H534,-7,1,),'Tasas-TC'!A:B,2,FALSE))+$D$546)))/360)*(H535-H534)*L534</f>
        <v>1003849.8263888889</v>
      </c>
      <c r="K535" s="52">
        <f>+IF(OR(I535="A + C",I535="A"),$D$543*$D$549,0)</f>
        <v>750000</v>
      </c>
      <c r="L535" s="53">
        <f>+L534-K535</f>
        <v>2750000</v>
      </c>
      <c r="M535" s="94">
        <f>+J535+K535</f>
        <v>1753849.826388889</v>
      </c>
      <c r="N535" s="25"/>
      <c r="O535" s="197">
        <f t="shared" si="49"/>
        <v>-2279052.0833333335</v>
      </c>
      <c r="P535" s="197">
        <f t="shared" si="50"/>
        <v>0.15157638888888891</v>
      </c>
      <c r="Q535" s="197">
        <f t="shared" si="51"/>
        <v>0.11337083333333335</v>
      </c>
    </row>
    <row r="536" spans="1:17" ht="15.95" customHeight="1" x14ac:dyDescent="0.25">
      <c r="A536" s="121"/>
      <c r="B536" s="32"/>
      <c r="D536" s="644"/>
      <c r="E536" s="660"/>
      <c r="F536" s="483"/>
      <c r="G536" s="484"/>
      <c r="H536" s="51">
        <f>IF(DAY(H535)=DAY($H$532),IF(WEEKDAY(EDATE(H535,$D$544),3)&lt;5,EDATE(H535,$D$544),WORKDAY(EDATE(H535,$D$544),1)),IF(WEEKDAY(EDATE($H$532,$D$544*COUNT($H$532:H535)),3)&lt;5,EDATE($H$532,$D$544*COUNT($H$532:H535)),WORKDAY(EDATE($H$532,$D$544*COUNT($H$532:H535)),1)))</f>
        <v>44011</v>
      </c>
      <c r="I536" s="71" t="s">
        <v>13</v>
      </c>
      <c r="J536" s="52">
        <f>(IF(AND($D$547&lt;&gt;"",$D$547&gt;(AVERAGE(VLOOKUP(WORKDAY.INTL(H536,-7,1,),'Tasas-TC'!A:B,2,FALSE),VLOOKUP(WORKDAY.INTL(H535,-7,1,),'Tasas-TC'!A:B,2,FALSE))+$D$546)),$D$547,IF(AND($D$548&lt;&gt;"",$D$548&lt;(AVERAGE(VLOOKUP(WORKDAY.INTL(H536,-7,1,),'Tasas-TC'!A:B,2,FALSE),VLOOKUP(WORKDAY.INTL(H535,-7,1,),'Tasas-TC'!A:B,2,FALSE))+$D$546)),$D$548,(AVERAGE(VLOOKUP(WORKDAY.INTL(H536,-7,1,),'Tasas-TC'!A:B,2,FALSE),VLOOKUP(WORKDAY.INTL(H535,-7,1,),'Tasas-TC'!A:B,2,FALSE))+$D$546)))/360)*(H536-H535)*L535</f>
        <v>627797.30902777764</v>
      </c>
      <c r="K536" s="52">
        <f>+IF(OR(I536="A + C",I536="A"),$D$543*$D$549,0)</f>
        <v>750000</v>
      </c>
      <c r="L536" s="53">
        <f>+L535-K536</f>
        <v>2000000</v>
      </c>
      <c r="M536" s="94">
        <f>+J536+K536</f>
        <v>1377797.3090277775</v>
      </c>
      <c r="N536" s="25"/>
      <c r="O536" s="197">
        <f t="shared" si="49"/>
        <v>-1289288.1944444445</v>
      </c>
      <c r="P536" s="197">
        <f t="shared" si="50"/>
        <v>0.24744097222222225</v>
      </c>
      <c r="Q536" s="197">
        <f t="shared" si="51"/>
        <v>0.24744097222222225</v>
      </c>
    </row>
    <row r="537" spans="1:17" ht="15.95" customHeight="1" x14ac:dyDescent="0.25">
      <c r="A537" s="121"/>
      <c r="B537" s="23"/>
      <c r="C537" s="638" t="s">
        <v>36</v>
      </c>
      <c r="D537" s="640"/>
      <c r="E537" s="36"/>
      <c r="F537" s="483"/>
      <c r="G537" s="484"/>
      <c r="H537" s="51">
        <f>IF(DAY(H536)=DAY($H$532),IF(WEEKDAY(EDATE(H536,$D$544),3)&lt;5,EDATE(H536,$D$544),WORKDAY(EDATE(H536,$D$544),1)),IF(WEEKDAY(EDATE($H$532,$D$544*COUNT($H$532:H536)),3)&lt;5,EDATE($H$532,$D$544*COUNT($H$532:H536)),WORKDAY(EDATE($H$532,$D$544*COUNT($H$532:H536)),1)))</f>
        <v>44193</v>
      </c>
      <c r="I537" s="71" t="s">
        <v>13</v>
      </c>
      <c r="J537" s="52">
        <f>(IF(AND($D$547&lt;&gt;"",$D$547&gt;(AVERAGE(VLOOKUP(WORKDAY.INTL(H537,-7,1,),'Tasas-TC'!A:B,2,FALSE),VLOOKUP(WORKDAY.INTL(H536,-7,1,),'Tasas-TC'!A:B,2,FALSE))+$D$546)),$D$547,IF(AND($D$548&lt;&gt;"",$D$548&lt;(AVERAGE(VLOOKUP(WORKDAY.INTL(H537,-7,1,),'Tasas-TC'!A:B,2,FALSE),VLOOKUP(WORKDAY.INTL(H536,-7,1,),'Tasas-TC'!A:B,2,FALSE))+$D$546)),$D$548,(AVERAGE(VLOOKUP(WORKDAY.INTL(H537,-7,1,),'Tasas-TC'!A:B,2,FALSE),VLOOKUP(WORKDAY.INTL(H536,-7,1,),'Tasas-TC'!A:B,2,FALSE))+$D$546)))/360)*(H537-H536)*L536</f>
        <v>422770.83333333331</v>
      </c>
      <c r="K537" s="52">
        <f>+IF(OR(I537="A + C",I537="A"),$D$543*$D$550,0)</f>
        <v>2000000</v>
      </c>
      <c r="L537" s="53">
        <f>+L536-K537</f>
        <v>0</v>
      </c>
      <c r="M537" s="94">
        <f>+J537+K537</f>
        <v>2422770.8333333335</v>
      </c>
      <c r="N537" s="25"/>
      <c r="O537" s="197">
        <f t="shared" si="49"/>
        <v>-531514.9305555555</v>
      </c>
      <c r="P537" s="197">
        <f t="shared" si="50"/>
        <v>0.18944331597222225</v>
      </c>
      <c r="Q537" s="197">
        <f t="shared" si="51"/>
        <v>0.23667438926940643</v>
      </c>
    </row>
    <row r="538" spans="1:17" ht="15.95" customHeight="1" x14ac:dyDescent="0.25">
      <c r="A538" s="121"/>
      <c r="B538" s="23"/>
      <c r="C538" s="59"/>
      <c r="D538" s="62"/>
      <c r="E538" s="36"/>
      <c r="F538" s="483"/>
      <c r="G538" s="484"/>
      <c r="H538" s="54"/>
      <c r="I538" s="61"/>
      <c r="J538" s="55"/>
      <c r="K538" s="56"/>
      <c r="L538" s="57"/>
      <c r="M538" s="109"/>
      <c r="N538" s="25"/>
      <c r="O538" s="197">
        <f t="shared" si="49"/>
        <v>159626.11111111124</v>
      </c>
      <c r="P538" s="197">
        <f t="shared" si="50"/>
        <v>0.1727852604166667</v>
      </c>
      <c r="Q538" s="197">
        <f t="shared" si="51"/>
        <v>0.25894119848744296</v>
      </c>
    </row>
    <row r="539" spans="1:17" ht="15.95" customHeight="1" x14ac:dyDescent="0.25">
      <c r="A539" s="121"/>
      <c r="B539" s="23"/>
      <c r="C539" s="59" t="s">
        <v>9</v>
      </c>
      <c r="D539" s="98" t="s">
        <v>18</v>
      </c>
      <c r="E539" s="36"/>
      <c r="F539" s="483"/>
      <c r="G539" s="484"/>
      <c r="H539" s="35"/>
      <c r="I539" s="35"/>
      <c r="J539" s="35"/>
      <c r="K539" s="109"/>
      <c r="L539" s="109"/>
      <c r="M539" s="109"/>
      <c r="N539" s="25"/>
      <c r="O539" s="197">
        <f t="shared" si="49"/>
        <v>857101.52777777798</v>
      </c>
      <c r="P539" s="197">
        <f t="shared" si="50"/>
        <v>0.1743688541666667</v>
      </c>
      <c r="Q539" s="197">
        <f t="shared" si="51"/>
        <v>0.30526492551369871</v>
      </c>
    </row>
    <row r="540" spans="1:17" ht="15.95" customHeight="1" x14ac:dyDescent="0.25">
      <c r="A540" s="121"/>
      <c r="B540" s="23"/>
      <c r="C540" s="59" t="s">
        <v>10</v>
      </c>
      <c r="D540" s="65">
        <v>43276</v>
      </c>
      <c r="E540" s="36"/>
      <c r="F540" s="483"/>
      <c r="G540" s="484"/>
      <c r="H540" s="656" t="s">
        <v>43</v>
      </c>
      <c r="I540" s="656"/>
      <c r="J540" s="92">
        <v>0</v>
      </c>
      <c r="K540" s="92"/>
      <c r="L540" s="24"/>
      <c r="M540" s="24"/>
      <c r="N540" s="25"/>
      <c r="O540" s="197">
        <f t="shared" si="49"/>
        <v>1531057.0833333335</v>
      </c>
      <c r="P540" s="197">
        <f t="shared" si="50"/>
        <v>0.16848888888888888</v>
      </c>
      <c r="Q540" s="197">
        <f t="shared" si="51"/>
        <v>0.33836261796042616</v>
      </c>
    </row>
    <row r="541" spans="1:17" ht="15.95" customHeight="1" x14ac:dyDescent="0.25">
      <c r="A541" s="121"/>
      <c r="B541" s="23"/>
      <c r="C541" s="59" t="s">
        <v>11</v>
      </c>
      <c r="D541" s="65">
        <v>43279</v>
      </c>
      <c r="E541" s="36"/>
      <c r="F541" s="483"/>
      <c r="G541" s="484"/>
      <c r="H541" s="657"/>
      <c r="I541" s="657"/>
      <c r="J541" s="392"/>
      <c r="K541" s="24"/>
      <c r="L541" s="33"/>
      <c r="M541" s="33"/>
      <c r="N541" s="25"/>
      <c r="O541" s="197">
        <f t="shared" si="49"/>
        <v>2156682.0833333335</v>
      </c>
      <c r="P541" s="197">
        <f t="shared" si="50"/>
        <v>0.15640625</v>
      </c>
      <c r="Q541" s="197">
        <f t="shared" si="51"/>
        <v>0.35180693493150689</v>
      </c>
    </row>
    <row r="542" spans="1:17" ht="15.95" customHeight="1" x14ac:dyDescent="0.25">
      <c r="A542" s="121"/>
      <c r="B542" s="23"/>
      <c r="C542" s="59" t="s">
        <v>12</v>
      </c>
      <c r="D542" s="65">
        <v>44375</v>
      </c>
      <c r="E542" s="36"/>
      <c r="F542" s="483"/>
      <c r="G542" s="484"/>
      <c r="H542" s="24"/>
      <c r="I542" s="24"/>
      <c r="J542" s="24"/>
      <c r="K542" s="24"/>
      <c r="L542" s="24"/>
      <c r="M542" s="24"/>
      <c r="N542" s="25"/>
      <c r="O542" s="197">
        <f t="shared" si="49"/>
        <v>2741283.611111111</v>
      </c>
      <c r="P542" s="197">
        <f t="shared" si="50"/>
        <v>0.14615038194444444</v>
      </c>
      <c r="Q542" s="197">
        <f t="shared" si="51"/>
        <v>0.36517574885844745</v>
      </c>
    </row>
    <row r="543" spans="1:17" ht="15.95" customHeight="1" x14ac:dyDescent="0.25">
      <c r="A543" s="121"/>
      <c r="B543" s="23"/>
      <c r="C543" s="59" t="s">
        <v>27</v>
      </c>
      <c r="D543" s="66">
        <v>5000000</v>
      </c>
      <c r="E543" s="41"/>
      <c r="F543" s="480"/>
      <c r="G543" s="484"/>
      <c r="H543" s="638" t="s">
        <v>44</v>
      </c>
      <c r="I543" s="639"/>
      <c r="J543" s="639"/>
      <c r="K543" s="639"/>
      <c r="L543" s="639"/>
      <c r="M543" s="640"/>
      <c r="N543" s="25"/>
      <c r="O543" s="197">
        <f t="shared" si="49"/>
        <v>3282402.1527777775</v>
      </c>
      <c r="P543" s="197">
        <f t="shared" si="50"/>
        <v>0.13527963541666665</v>
      </c>
      <c r="Q543" s="197">
        <f t="shared" si="51"/>
        <v>0.37285291295662099</v>
      </c>
    </row>
    <row r="544" spans="1:17" ht="15.95" customHeight="1" x14ac:dyDescent="0.25">
      <c r="A544" s="121"/>
      <c r="B544" s="23"/>
      <c r="C544" s="59" t="s">
        <v>26</v>
      </c>
      <c r="D544" s="66">
        <v>6</v>
      </c>
      <c r="E544" s="36"/>
      <c r="F544" s="480"/>
      <c r="G544" s="484"/>
      <c r="H544" s="23"/>
      <c r="I544" s="24"/>
      <c r="J544" s="24"/>
      <c r="K544" s="24"/>
      <c r="L544" s="24"/>
      <c r="M544" s="25"/>
      <c r="N544" s="25"/>
      <c r="O544" s="197">
        <f t="shared" si="49"/>
        <v>3815485.486111111</v>
      </c>
      <c r="P544" s="197">
        <f t="shared" si="50"/>
        <v>0.13327083333333334</v>
      </c>
      <c r="Q544" s="197">
        <f t="shared" si="51"/>
        <v>0.40054275114155258</v>
      </c>
    </row>
    <row r="545" spans="1:15" ht="15.95" customHeight="1" x14ac:dyDescent="0.25">
      <c r="A545" s="121"/>
      <c r="B545" s="23"/>
      <c r="C545" s="59" t="s">
        <v>19</v>
      </c>
      <c r="D545" s="67" t="s">
        <v>20</v>
      </c>
      <c r="E545" s="43"/>
      <c r="F545" s="480"/>
      <c r="G545" s="484"/>
      <c r="H545" s="23"/>
      <c r="I545" s="24"/>
      <c r="J545" s="24"/>
      <c r="K545" s="24"/>
      <c r="L545" s="24"/>
      <c r="M545" s="25"/>
      <c r="N545" s="25"/>
      <c r="O545" s="195"/>
    </row>
    <row r="546" spans="1:15" ht="15.95" customHeight="1" x14ac:dyDescent="0.25">
      <c r="A546" s="121"/>
      <c r="B546" s="23"/>
      <c r="C546" s="59" t="s">
        <v>14</v>
      </c>
      <c r="D546" s="68">
        <v>0.1</v>
      </c>
      <c r="E546" s="43"/>
      <c r="F546" s="480"/>
      <c r="G546" s="484"/>
      <c r="H546" s="96"/>
      <c r="I546" s="35"/>
      <c r="J546" s="24"/>
      <c r="K546" s="24"/>
      <c r="L546" s="24"/>
      <c r="M546" s="25"/>
      <c r="N546" s="25"/>
      <c r="O546" s="195"/>
    </row>
    <row r="547" spans="1:15" ht="15.95" customHeight="1" x14ac:dyDescent="0.25">
      <c r="A547" s="121"/>
      <c r="B547" s="23"/>
      <c r="C547" s="59" t="s">
        <v>31</v>
      </c>
      <c r="D547" s="68"/>
      <c r="E547" s="43"/>
      <c r="F547" s="480"/>
      <c r="G547" s="484"/>
      <c r="H547" s="23"/>
      <c r="I547" s="24"/>
      <c r="J547" s="24"/>
      <c r="K547" s="24"/>
      <c r="L547" s="24"/>
      <c r="M547" s="25"/>
      <c r="N547" s="25"/>
      <c r="O547" s="195"/>
    </row>
    <row r="548" spans="1:15" ht="15.95" customHeight="1" x14ac:dyDescent="0.25">
      <c r="A548" s="121"/>
      <c r="B548" s="23"/>
      <c r="C548" s="59" t="s">
        <v>32</v>
      </c>
      <c r="D548" s="68"/>
      <c r="E548" s="44"/>
      <c r="F548" s="480"/>
      <c r="G548" s="484"/>
      <c r="H548" s="23"/>
      <c r="I548" s="24"/>
      <c r="J548" s="24"/>
      <c r="K548" s="24"/>
      <c r="L548" s="24"/>
      <c r="M548" s="25"/>
      <c r="N548" s="25"/>
      <c r="O548" s="195"/>
    </row>
    <row r="549" spans="1:15" ht="15.95" customHeight="1" x14ac:dyDescent="0.25">
      <c r="A549" s="121"/>
      <c r="B549" s="23"/>
      <c r="C549" s="59" t="s">
        <v>64</v>
      </c>
      <c r="D549" s="68">
        <v>0.15</v>
      </c>
      <c r="E549" s="24"/>
      <c r="F549" s="480"/>
      <c r="G549" s="484"/>
      <c r="H549" s="23"/>
      <c r="I549" s="24"/>
      <c r="J549" s="24"/>
      <c r="K549" s="24"/>
      <c r="L549" s="24"/>
      <c r="M549" s="25"/>
      <c r="N549" s="25"/>
      <c r="O549" s="195"/>
    </row>
    <row r="550" spans="1:15" ht="15.95" customHeight="1" x14ac:dyDescent="0.25">
      <c r="A550" s="121"/>
      <c r="B550" s="23"/>
      <c r="C550" s="59" t="s">
        <v>55</v>
      </c>
      <c r="D550" s="68">
        <v>0.4</v>
      </c>
      <c r="E550" s="24"/>
      <c r="F550" s="480"/>
      <c r="G550" s="484"/>
      <c r="H550" s="23"/>
      <c r="I550" s="24"/>
      <c r="J550" s="24"/>
      <c r="K550" s="24"/>
      <c r="L550" s="24"/>
      <c r="M550" s="25"/>
      <c r="N550" s="25"/>
      <c r="O550" s="195"/>
    </row>
    <row r="551" spans="1:15" ht="15.95" customHeight="1" x14ac:dyDescent="0.25">
      <c r="A551" s="121"/>
      <c r="B551" s="23"/>
      <c r="C551" s="60"/>
      <c r="D551" s="119"/>
      <c r="E551" s="24"/>
      <c r="F551" s="480"/>
      <c r="G551" s="485"/>
      <c r="H551" s="23"/>
      <c r="I551" s="24"/>
      <c r="J551" s="24"/>
      <c r="K551" s="24"/>
      <c r="L551" s="24"/>
      <c r="M551" s="25"/>
      <c r="N551" s="25"/>
      <c r="O551" s="195"/>
    </row>
    <row r="552" spans="1:15" ht="15.95" customHeight="1" x14ac:dyDescent="0.25">
      <c r="A552" s="121"/>
      <c r="B552" s="23"/>
      <c r="C552" s="24"/>
      <c r="D552" s="24"/>
      <c r="E552" s="24"/>
      <c r="F552" s="480"/>
      <c r="G552" s="485"/>
      <c r="H552" s="23"/>
      <c r="I552" s="24"/>
      <c r="J552" s="24"/>
      <c r="K552" s="24"/>
      <c r="L552" s="24"/>
      <c r="M552" s="25"/>
      <c r="N552" s="25"/>
      <c r="O552" s="195"/>
    </row>
    <row r="553" spans="1:15" ht="15.95" customHeight="1" x14ac:dyDescent="0.25">
      <c r="A553" s="121"/>
      <c r="B553" s="23"/>
      <c r="C553" s="24"/>
      <c r="D553" s="24"/>
      <c r="E553" s="24"/>
      <c r="F553" s="480"/>
      <c r="G553" s="485"/>
      <c r="H553" s="23"/>
      <c r="I553" s="24"/>
      <c r="J553" s="24"/>
      <c r="K553" s="24"/>
      <c r="L553" s="24"/>
      <c r="M553" s="25"/>
      <c r="N553" s="25"/>
      <c r="O553" s="195"/>
    </row>
    <row r="554" spans="1:15" ht="15.95" customHeight="1" x14ac:dyDescent="0.25">
      <c r="A554" s="121"/>
      <c r="B554" s="23"/>
      <c r="C554" s="24"/>
      <c r="D554" s="24"/>
      <c r="E554" s="24"/>
      <c r="F554" s="480"/>
      <c r="G554" s="485"/>
      <c r="H554" s="23"/>
      <c r="I554" s="24"/>
      <c r="J554" s="24"/>
      <c r="K554" s="24"/>
      <c r="L554" s="24"/>
      <c r="M554" s="25"/>
      <c r="N554" s="25"/>
      <c r="O554" s="195"/>
    </row>
    <row r="555" spans="1:15" ht="15.95" customHeight="1" x14ac:dyDescent="0.25">
      <c r="A555" s="121"/>
      <c r="B555" s="23"/>
      <c r="C555" s="24"/>
      <c r="D555" s="24"/>
      <c r="E555" s="24"/>
      <c r="F555" s="480"/>
      <c r="G555" s="485"/>
      <c r="H555" s="23"/>
      <c r="I555" s="24"/>
      <c r="J555" s="24"/>
      <c r="K555" s="24"/>
      <c r="L555" s="24"/>
      <c r="M555" s="25"/>
      <c r="N555" s="25"/>
      <c r="O555" s="195"/>
    </row>
    <row r="556" spans="1:15" ht="15.95" customHeight="1" x14ac:dyDescent="0.25">
      <c r="A556" s="121"/>
      <c r="B556" s="23"/>
      <c r="C556" s="24"/>
      <c r="D556" s="24"/>
      <c r="E556" s="24"/>
      <c r="F556" s="480"/>
      <c r="G556" s="485"/>
      <c r="H556" s="26"/>
      <c r="I556" s="27"/>
      <c r="J556" s="27"/>
      <c r="K556" s="27"/>
      <c r="L556" s="27"/>
      <c r="M556" s="28"/>
      <c r="N556" s="25"/>
      <c r="O556" s="195"/>
    </row>
    <row r="557" spans="1:15" ht="15.95" customHeight="1" x14ac:dyDescent="0.25">
      <c r="A557" s="121"/>
      <c r="B557" s="26"/>
      <c r="C557" s="27"/>
      <c r="D557" s="27"/>
      <c r="E557" s="27"/>
      <c r="F557" s="481"/>
      <c r="G557" s="486"/>
      <c r="H557" s="27"/>
      <c r="I557" s="27"/>
      <c r="J557" s="27"/>
      <c r="K557" s="27"/>
      <c r="L557" s="27"/>
      <c r="M557" s="27"/>
      <c r="N557" s="28"/>
      <c r="O557" s="195"/>
    </row>
    <row r="558" spans="1:15" ht="15.95" customHeight="1" x14ac:dyDescent="0.25">
      <c r="A558" s="121"/>
      <c r="B558" s="23"/>
      <c r="C558" s="24"/>
      <c r="D558" s="24"/>
      <c r="E558" s="24"/>
      <c r="F558" s="480"/>
      <c r="G558" s="480"/>
      <c r="H558" s="24"/>
      <c r="I558" s="24"/>
      <c r="J558" s="24"/>
      <c r="K558" s="24"/>
      <c r="L558" s="24"/>
      <c r="M558" s="24"/>
      <c r="N558" s="25"/>
      <c r="O558" s="195"/>
    </row>
    <row r="559" spans="1:15" ht="15.95" customHeight="1" x14ac:dyDescent="0.25">
      <c r="A559" s="121"/>
      <c r="B559" s="635" t="s">
        <v>390</v>
      </c>
      <c r="C559" s="636"/>
      <c r="D559" s="636"/>
      <c r="E559" s="636"/>
      <c r="F559" s="636"/>
      <c r="G559" s="636"/>
      <c r="H559" s="636"/>
      <c r="I559" s="636"/>
      <c r="J559" s="636"/>
      <c r="K559" s="636"/>
      <c r="L559" s="636"/>
      <c r="M559" s="636"/>
      <c r="N559" s="637"/>
      <c r="O559" s="195"/>
    </row>
    <row r="560" spans="1:15" ht="15.95" customHeight="1" x14ac:dyDescent="0.25">
      <c r="A560" s="121"/>
      <c r="B560" s="23"/>
      <c r="C560" s="24"/>
      <c r="D560" s="24"/>
      <c r="E560" s="24"/>
      <c r="F560" s="483"/>
      <c r="G560" s="484"/>
      <c r="H560" s="31"/>
      <c r="I560" s="31"/>
      <c r="J560" s="24"/>
      <c r="K560" s="24"/>
      <c r="L560" s="24"/>
      <c r="M560" s="24"/>
      <c r="N560" s="25"/>
      <c r="O560" s="195"/>
    </row>
    <row r="561" spans="1:17" ht="15.95" customHeight="1" x14ac:dyDescent="0.25">
      <c r="A561" s="121"/>
      <c r="B561" s="23"/>
      <c r="C561" s="638" t="s">
        <v>37</v>
      </c>
      <c r="D561" s="639"/>
      <c r="E561" s="640"/>
      <c r="F561" s="483"/>
      <c r="G561" s="484"/>
      <c r="H561" s="641" t="s">
        <v>28</v>
      </c>
      <c r="I561" s="642"/>
      <c r="J561" s="39">
        <v>0</v>
      </c>
      <c r="K561" s="24"/>
      <c r="L561" s="24"/>
      <c r="M561" s="24"/>
      <c r="N561" s="25"/>
      <c r="O561" s="195"/>
    </row>
    <row r="562" spans="1:17" ht="15.95" customHeight="1" x14ac:dyDescent="0.25">
      <c r="A562" s="121"/>
      <c r="B562" s="23"/>
      <c r="C562" s="58"/>
      <c r="D562" s="664"/>
      <c r="E562" s="665"/>
      <c r="F562" s="483"/>
      <c r="G562" s="484"/>
      <c r="H562" s="645" t="s">
        <v>29</v>
      </c>
      <c r="I562" s="646"/>
      <c r="J562" s="40">
        <f>D583</f>
        <v>45217</v>
      </c>
      <c r="K562" s="24"/>
      <c r="L562" s="24"/>
      <c r="M562" s="24"/>
      <c r="N562" s="25"/>
      <c r="O562" s="195"/>
    </row>
    <row r="563" spans="1:17" ht="15.95" customHeight="1" x14ac:dyDescent="0.25">
      <c r="A563" s="121"/>
      <c r="B563" s="23"/>
      <c r="C563" s="59" t="s">
        <v>25</v>
      </c>
      <c r="D563" s="658"/>
      <c r="E563" s="659"/>
      <c r="F563" s="483"/>
      <c r="G563" s="484"/>
      <c r="H563" s="649" t="s">
        <v>30</v>
      </c>
      <c r="I563" s="650"/>
      <c r="J563" s="42" t="s">
        <v>523</v>
      </c>
      <c r="L563" s="24"/>
      <c r="M563" s="24"/>
      <c r="N563" s="25"/>
      <c r="O563" s="195"/>
    </row>
    <row r="564" spans="1:17" ht="15.95" customHeight="1" x14ac:dyDescent="0.25">
      <c r="A564" s="121"/>
      <c r="B564" s="23"/>
      <c r="C564" s="59" t="s">
        <v>6</v>
      </c>
      <c r="D564" s="658" t="s">
        <v>391</v>
      </c>
      <c r="E564" s="659"/>
      <c r="F564" s="483"/>
      <c r="G564" s="484"/>
      <c r="H564" s="24"/>
      <c r="I564" s="24"/>
      <c r="J564" s="24"/>
      <c r="K564" s="24"/>
      <c r="L564" s="24"/>
      <c r="M564" s="24"/>
      <c r="N564" s="25"/>
      <c r="O564" s="195"/>
    </row>
    <row r="565" spans="1:17" ht="15.95" customHeight="1" x14ac:dyDescent="0.25">
      <c r="A565" s="121"/>
      <c r="B565" s="23"/>
      <c r="C565" s="59" t="s">
        <v>8</v>
      </c>
      <c r="D565" s="658" t="s">
        <v>17</v>
      </c>
      <c r="E565" s="659"/>
      <c r="F565" s="483"/>
      <c r="G565" s="484"/>
      <c r="H565" s="651" t="s">
        <v>41</v>
      </c>
      <c r="I565" s="652"/>
      <c r="J565" s="652"/>
      <c r="K565" s="652"/>
      <c r="L565" s="653"/>
      <c r="M565" s="24"/>
      <c r="N565" s="25"/>
      <c r="O565" s="195"/>
    </row>
    <row r="566" spans="1:17" ht="20.100000000000001" customHeight="1" x14ac:dyDescent="0.25">
      <c r="A566" s="121"/>
      <c r="B566" s="23"/>
      <c r="C566" s="59" t="s">
        <v>33</v>
      </c>
      <c r="D566" s="73" t="s">
        <v>301</v>
      </c>
      <c r="E566" s="273">
        <v>0.308</v>
      </c>
      <c r="F566" s="483">
        <f>+E566*$J$561</f>
        <v>0</v>
      </c>
      <c r="G566" s="484"/>
      <c r="H566" s="81" t="s">
        <v>0</v>
      </c>
      <c r="I566" s="82" t="s">
        <v>2</v>
      </c>
      <c r="J566" s="82" t="s">
        <v>3</v>
      </c>
      <c r="K566" s="82" t="s">
        <v>4</v>
      </c>
      <c r="L566" s="83" t="s">
        <v>5</v>
      </c>
      <c r="M566" s="82" t="s">
        <v>44</v>
      </c>
      <c r="N566" s="25"/>
      <c r="O566" s="195"/>
    </row>
    <row r="567" spans="1:17" ht="15.95" customHeight="1" x14ac:dyDescent="0.25">
      <c r="A567" s="121"/>
      <c r="B567" s="23"/>
      <c r="C567" s="278" t="s">
        <v>33</v>
      </c>
      <c r="D567" s="73" t="s">
        <v>308</v>
      </c>
      <c r="E567" s="273">
        <v>0.17</v>
      </c>
      <c r="F567" s="483">
        <f>+E567*$J$561</f>
        <v>0</v>
      </c>
      <c r="G567" s="484"/>
      <c r="H567" s="45"/>
      <c r="I567" s="46"/>
      <c r="J567" s="46"/>
      <c r="K567" s="46"/>
      <c r="L567" s="47"/>
      <c r="M567" s="101"/>
      <c r="N567" s="25"/>
      <c r="O567" s="195"/>
    </row>
    <row r="568" spans="1:17" ht="15.95" customHeight="1" x14ac:dyDescent="0.25">
      <c r="A568" s="121"/>
      <c r="B568" s="23"/>
      <c r="C568" s="421"/>
      <c r="D568" s="73" t="s">
        <v>316</v>
      </c>
      <c r="E568" s="273">
        <v>0.16200000000000001</v>
      </c>
      <c r="F568" s="483">
        <f>+E568*$J$561</f>
        <v>0</v>
      </c>
      <c r="G568" s="484"/>
      <c r="H568" s="48">
        <f>D582</f>
        <v>44487</v>
      </c>
      <c r="I568" s="46"/>
      <c r="J568" s="49"/>
      <c r="K568" s="49"/>
      <c r="L568" s="50">
        <f>+D584</f>
        <v>120000000</v>
      </c>
      <c r="M568" s="102">
        <f>-L568</f>
        <v>-120000000</v>
      </c>
      <c r="N568" s="25"/>
      <c r="O568" s="194" t="str">
        <f>+D661</f>
        <v>ON Pyme CNV Garantizada</v>
      </c>
    </row>
    <row r="569" spans="1:17" ht="15.95" customHeight="1" x14ac:dyDescent="0.25">
      <c r="A569" s="121"/>
      <c r="B569" s="23"/>
      <c r="C569" s="421"/>
      <c r="D569" s="73" t="s">
        <v>318</v>
      </c>
      <c r="E569" s="273">
        <v>0.15</v>
      </c>
      <c r="F569" s="483">
        <f t="shared" ref="F569:F571" si="52">+E569*$J$561</f>
        <v>0</v>
      </c>
      <c r="G569" s="484"/>
      <c r="H569" s="51">
        <v>44518</v>
      </c>
      <c r="I569" s="71" t="s">
        <v>7</v>
      </c>
      <c r="J569" s="52">
        <f>L568*($P$4+D587)*(H569-H568)/365</f>
        <v>3932753.4246575343</v>
      </c>
      <c r="K569" s="52">
        <v>0</v>
      </c>
      <c r="L569" s="53">
        <f>+L568-K569</f>
        <v>120000000</v>
      </c>
      <c r="M569" s="103">
        <f>+J569+K569</f>
        <v>3932753.4246575343</v>
      </c>
      <c r="N569" s="25"/>
      <c r="O569" s="195"/>
    </row>
    <row r="570" spans="1:17" ht="15.95" customHeight="1" x14ac:dyDescent="0.25">
      <c r="A570" s="121"/>
      <c r="B570" s="23"/>
      <c r="C570" s="421"/>
      <c r="D570" s="73" t="s">
        <v>310</v>
      </c>
      <c r="E570" s="273">
        <v>0.13</v>
      </c>
      <c r="F570" s="483">
        <f t="shared" si="52"/>
        <v>0</v>
      </c>
      <c r="G570" s="484"/>
      <c r="H570" s="51">
        <v>44548</v>
      </c>
      <c r="I570" s="71" t="s">
        <v>7</v>
      </c>
      <c r="J570" s="52">
        <f>L569*($P$4+D588)*(H570-H569)/365</f>
        <v>3174657.5342465756</v>
      </c>
      <c r="K570" s="52">
        <v>0</v>
      </c>
      <c r="L570" s="53">
        <f>+L569-K570</f>
        <v>120000000</v>
      </c>
      <c r="M570" s="103">
        <f>+J570+K570</f>
        <v>3174657.5342465756</v>
      </c>
      <c r="N570" s="25"/>
      <c r="O570" s="194" t="str">
        <f>+IF(J659="vencida",IF(D661='Reporte - Oscuro'!$C$40,'Reporte - Oscuro'!$C$40&amp;" vencida",IF(D661='Reporte - Oscuro'!$C$41,'Reporte - Oscuro'!$C$41&amp;" vencida",IF(D661='Reporte - Oscuro'!$C$42,'Reporte - Oscuro'!$C$42&amp;" vencida",'Reporte - Oscuro'!$C$43&amp;" vencida"))),D661&amp;" vigente")</f>
        <v>ON Pyme CNV Garantizada vencida</v>
      </c>
    </row>
    <row r="571" spans="1:17" ht="15.95" customHeight="1" x14ac:dyDescent="0.25">
      <c r="A571" s="121"/>
      <c r="B571" s="23"/>
      <c r="C571" s="421"/>
      <c r="D571" s="73" t="s">
        <v>311</v>
      </c>
      <c r="E571" s="273">
        <v>0.08</v>
      </c>
      <c r="F571" s="483">
        <f t="shared" si="52"/>
        <v>0</v>
      </c>
      <c r="G571" s="484"/>
      <c r="H571" s="51">
        <v>44579</v>
      </c>
      <c r="I571" s="71" t="s">
        <v>7</v>
      </c>
      <c r="J571" s="52">
        <f>L570*($P$4+D589)*(H571-H570)/365</f>
        <v>3280479.4520547944</v>
      </c>
      <c r="K571" s="52">
        <v>0</v>
      </c>
      <c r="L571" s="53">
        <f>+L570-K571</f>
        <v>120000000</v>
      </c>
      <c r="M571" s="103">
        <f>+J571+K571</f>
        <v>3280479.4520547944</v>
      </c>
      <c r="N571" s="25"/>
      <c r="O571" s="195"/>
    </row>
    <row r="572" spans="1:17" ht="15.95" customHeight="1" x14ac:dyDescent="0.25">
      <c r="A572" s="121"/>
      <c r="B572" s="32"/>
      <c r="C572" s="59" t="s">
        <v>34</v>
      </c>
      <c r="D572" s="658" t="s">
        <v>48</v>
      </c>
      <c r="E572" s="659"/>
      <c r="F572" s="483"/>
      <c r="G572" s="484"/>
      <c r="H572" s="51">
        <v>44610</v>
      </c>
      <c r="I572" s="71" t="s">
        <v>7</v>
      </c>
      <c r="J572" s="52">
        <f>L571*($P$4+D590)*(H572-H571)/365</f>
        <v>4129794.5206158906</v>
      </c>
      <c r="K572" s="52">
        <v>0</v>
      </c>
      <c r="L572" s="53">
        <f>+L571-K572</f>
        <v>120000000</v>
      </c>
      <c r="M572" s="103">
        <f>+J572+K572</f>
        <v>4129794.5206158906</v>
      </c>
      <c r="N572" s="25"/>
      <c r="O572" s="195"/>
    </row>
    <row r="573" spans="1:17" ht="15.95" customHeight="1" x14ac:dyDescent="0.25">
      <c r="A573" s="121"/>
      <c r="B573" s="32"/>
      <c r="C573" s="79" t="s">
        <v>38</v>
      </c>
      <c r="D573" s="75"/>
      <c r="E573" s="76"/>
      <c r="F573" s="483"/>
      <c r="G573" s="484"/>
      <c r="H573" s="51">
        <v>44638</v>
      </c>
      <c r="I573" s="71" t="s">
        <v>7</v>
      </c>
      <c r="J573" s="52">
        <f>L572*($P$4+D591)*(H573-H572)/365</f>
        <v>2963013.6986301369</v>
      </c>
      <c r="K573" s="52">
        <v>0</v>
      </c>
      <c r="L573" s="53">
        <f t="shared" ref="L573:L591" si="53">+L572-K573</f>
        <v>120000000</v>
      </c>
      <c r="M573" s="103">
        <f t="shared" ref="M573:M592" si="54">+J573+K573</f>
        <v>2963013.6986301369</v>
      </c>
      <c r="N573" s="25"/>
      <c r="O573" s="195"/>
    </row>
    <row r="574" spans="1:17" ht="15.95" customHeight="1" x14ac:dyDescent="0.25">
      <c r="A574" s="121"/>
      <c r="B574" s="32"/>
      <c r="C574" s="59"/>
      <c r="D574" s="399"/>
      <c r="E574" s="271"/>
      <c r="F574" s="483"/>
      <c r="G574" s="484"/>
      <c r="H574" s="51">
        <v>44669</v>
      </c>
      <c r="I574" s="71" t="s">
        <v>7</v>
      </c>
      <c r="J574" s="52">
        <f t="shared" ref="J574:J592" si="55">L573*($P$4+D592)*(H574-H573)/365</f>
        <v>3280479.4520547944</v>
      </c>
      <c r="K574" s="52">
        <v>0</v>
      </c>
      <c r="L574" s="53">
        <f t="shared" si="53"/>
        <v>120000000</v>
      </c>
      <c r="M574" s="103">
        <f t="shared" si="54"/>
        <v>3280479.4520547944</v>
      </c>
      <c r="N574" s="25"/>
      <c r="O574" s="195"/>
    </row>
    <row r="575" spans="1:17" ht="15.95" customHeight="1" x14ac:dyDescent="0.25">
      <c r="A575" s="121"/>
      <c r="B575" s="32"/>
      <c r="C575" s="59"/>
      <c r="D575" s="399"/>
      <c r="E575" s="271"/>
      <c r="F575" s="483"/>
      <c r="G575" s="484"/>
      <c r="H575" s="51">
        <v>44699</v>
      </c>
      <c r="I575" s="71" t="s">
        <v>7</v>
      </c>
      <c r="J575" s="52">
        <f t="shared" si="55"/>
        <v>3174657.5342465756</v>
      </c>
      <c r="K575" s="52">
        <v>0</v>
      </c>
      <c r="L575" s="53">
        <f t="shared" si="53"/>
        <v>120000000</v>
      </c>
      <c r="M575" s="103">
        <f t="shared" si="54"/>
        <v>3174657.5342465756</v>
      </c>
      <c r="N575" s="25"/>
      <c r="O575" s="197">
        <f>+M664</f>
        <v>-25000000</v>
      </c>
      <c r="P575" s="197"/>
      <c r="Q575" s="197"/>
    </row>
    <row r="576" spans="1:17" ht="15.95" customHeight="1" x14ac:dyDescent="0.25">
      <c r="A576" s="121"/>
      <c r="B576" s="32"/>
      <c r="C576" s="455"/>
      <c r="D576" s="275" t="str">
        <f>+B559</f>
        <v>Buyatti I</v>
      </c>
      <c r="E576" s="276"/>
      <c r="F576" s="483"/>
      <c r="G576" s="484">
        <f>+J561</f>
        <v>0</v>
      </c>
      <c r="H576" s="51">
        <v>44730</v>
      </c>
      <c r="I576" s="71" t="s">
        <v>7</v>
      </c>
      <c r="J576" s="52">
        <f t="shared" si="55"/>
        <v>3280479.4520547944</v>
      </c>
      <c r="K576" s="52">
        <v>0</v>
      </c>
      <c r="L576" s="53">
        <f t="shared" si="53"/>
        <v>120000000</v>
      </c>
      <c r="M576" s="103">
        <f t="shared" si="54"/>
        <v>3280479.4520547944</v>
      </c>
      <c r="N576" s="25"/>
      <c r="O576" s="197">
        <f t="shared" ref="O576:O581" si="56">+O575+M665</f>
        <v>-14702105.034722224</v>
      </c>
      <c r="P576" s="197"/>
      <c r="Q576" s="197"/>
    </row>
    <row r="577" spans="1:17" ht="15.95" customHeight="1" x14ac:dyDescent="0.25">
      <c r="A577" s="121"/>
      <c r="B577" s="23"/>
      <c r="C577" s="150"/>
      <c r="D577" s="272"/>
      <c r="E577" s="272"/>
      <c r="F577" s="483"/>
      <c r="G577" s="484"/>
      <c r="H577" s="51">
        <v>44760</v>
      </c>
      <c r="I577" s="71" t="s">
        <v>7</v>
      </c>
      <c r="J577" s="52">
        <f t="shared" si="55"/>
        <v>3174657.5342465756</v>
      </c>
      <c r="K577" s="52">
        <v>0</v>
      </c>
      <c r="L577" s="53">
        <f t="shared" si="53"/>
        <v>120000000</v>
      </c>
      <c r="M577" s="103">
        <f t="shared" si="54"/>
        <v>3174657.5342465756</v>
      </c>
      <c r="N577" s="25"/>
      <c r="O577" s="197">
        <f t="shared" si="56"/>
        <v>-3529214.4097222239</v>
      </c>
      <c r="P577" s="197"/>
      <c r="Q577" s="197"/>
    </row>
    <row r="578" spans="1:17" ht="15.95" customHeight="1" x14ac:dyDescent="0.25">
      <c r="A578" s="121"/>
      <c r="B578" s="23"/>
      <c r="C578" s="268" t="s">
        <v>36</v>
      </c>
      <c r="D578" s="269"/>
      <c r="E578" s="272"/>
      <c r="F578" s="483"/>
      <c r="G578" s="484"/>
      <c r="H578" s="51">
        <v>44791</v>
      </c>
      <c r="I578" s="71" t="s">
        <v>7</v>
      </c>
      <c r="J578" s="52">
        <f t="shared" si="55"/>
        <v>3280479.4520547944</v>
      </c>
      <c r="K578" s="52">
        <v>0</v>
      </c>
      <c r="L578" s="53">
        <f t="shared" si="53"/>
        <v>120000000</v>
      </c>
      <c r="M578" s="103">
        <f t="shared" si="54"/>
        <v>3280479.4520547944</v>
      </c>
      <c r="N578" s="25"/>
      <c r="O578" s="197">
        <f t="shared" si="56"/>
        <v>8095542.5347222202</v>
      </c>
      <c r="P578" s="197"/>
      <c r="Q578" s="197"/>
    </row>
    <row r="579" spans="1:17" ht="15.95" customHeight="1" x14ac:dyDescent="0.25">
      <c r="A579" s="121"/>
      <c r="B579" s="23"/>
      <c r="C579" s="59"/>
      <c r="D579" s="62"/>
      <c r="E579" s="272"/>
      <c r="F579" s="483"/>
      <c r="G579" s="484"/>
      <c r="H579" s="51">
        <v>44822</v>
      </c>
      <c r="I579" s="71" t="s">
        <v>7</v>
      </c>
      <c r="J579" s="52">
        <f t="shared" si="55"/>
        <v>3280479.4520547944</v>
      </c>
      <c r="K579" s="52">
        <v>0</v>
      </c>
      <c r="L579" s="53">
        <f t="shared" si="53"/>
        <v>120000000</v>
      </c>
      <c r="M579" s="103">
        <f t="shared" si="54"/>
        <v>3280479.4520547944</v>
      </c>
      <c r="N579" s="25"/>
      <c r="O579" s="197">
        <f t="shared" si="56"/>
        <v>19508016.493055552</v>
      </c>
      <c r="P579" s="197"/>
      <c r="Q579" s="197"/>
    </row>
    <row r="580" spans="1:17" ht="15.95" customHeight="1" x14ac:dyDescent="0.25">
      <c r="A580" s="121"/>
      <c r="B580" s="23"/>
      <c r="C580" s="59" t="s">
        <v>9</v>
      </c>
      <c r="D580" s="98" t="s">
        <v>18</v>
      </c>
      <c r="E580" s="272"/>
      <c r="F580" s="483"/>
      <c r="G580" s="484"/>
      <c r="H580" s="51">
        <v>44852</v>
      </c>
      <c r="I580" s="71" t="s">
        <v>7</v>
      </c>
      <c r="J580" s="52">
        <f t="shared" si="55"/>
        <v>3174657.5342465756</v>
      </c>
      <c r="K580" s="52">
        <v>0</v>
      </c>
      <c r="L580" s="53">
        <f t="shared" si="53"/>
        <v>120000000</v>
      </c>
      <c r="M580" s="103">
        <f t="shared" si="54"/>
        <v>3174657.5342465756</v>
      </c>
      <c r="N580" s="25"/>
      <c r="O580" s="197">
        <f t="shared" si="56"/>
        <v>27327738.715277776</v>
      </c>
      <c r="P580" s="197"/>
      <c r="Q580" s="197"/>
    </row>
    <row r="581" spans="1:17" ht="15.95" customHeight="1" x14ac:dyDescent="0.25">
      <c r="A581" s="121"/>
      <c r="B581" s="23"/>
      <c r="C581" s="59" t="s">
        <v>10</v>
      </c>
      <c r="D581" s="65">
        <v>44482</v>
      </c>
      <c r="E581" s="272"/>
      <c r="F581" s="483"/>
      <c r="G581" s="484"/>
      <c r="H581" s="51">
        <v>44883</v>
      </c>
      <c r="I581" s="71" t="s">
        <v>13</v>
      </c>
      <c r="J581" s="52">
        <f t="shared" si="55"/>
        <v>3280479.4520547944</v>
      </c>
      <c r="K581" s="52">
        <f>D584*D590</f>
        <v>10000000.000799999</v>
      </c>
      <c r="L581" s="53">
        <f t="shared" si="53"/>
        <v>109999999.9992</v>
      </c>
      <c r="M581" s="103">
        <f t="shared" si="54"/>
        <v>13280479.452854794</v>
      </c>
      <c r="N581" s="25"/>
      <c r="O581" s="197">
        <f t="shared" si="56"/>
        <v>34906427.951388888</v>
      </c>
      <c r="P581" s="197"/>
      <c r="Q581" s="197"/>
    </row>
    <row r="582" spans="1:17" ht="15.95" customHeight="1" x14ac:dyDescent="0.25">
      <c r="A582" s="121"/>
      <c r="B582" s="23"/>
      <c r="C582" s="59" t="s">
        <v>11</v>
      </c>
      <c r="D582" s="65">
        <v>44487</v>
      </c>
      <c r="E582" s="36"/>
      <c r="F582" s="483"/>
      <c r="G582" s="484"/>
      <c r="H582" s="51">
        <v>44913</v>
      </c>
      <c r="I582" s="71" t="s">
        <v>13</v>
      </c>
      <c r="J582" s="52">
        <f t="shared" si="55"/>
        <v>2910102.7397048632</v>
      </c>
      <c r="K582" s="52">
        <v>9999996</v>
      </c>
      <c r="L582" s="53">
        <f t="shared" si="53"/>
        <v>100000003.9992</v>
      </c>
      <c r="M582" s="103">
        <f t="shared" si="54"/>
        <v>12910098.739704862</v>
      </c>
      <c r="N582" s="25"/>
      <c r="O582" s="197"/>
      <c r="P582" s="197"/>
      <c r="Q582" s="197"/>
    </row>
    <row r="583" spans="1:17" ht="15.95" customHeight="1" x14ac:dyDescent="0.25">
      <c r="A583" s="121"/>
      <c r="B583" s="23"/>
      <c r="C583" s="59" t="s">
        <v>12</v>
      </c>
      <c r="D583" s="65">
        <v>45217</v>
      </c>
      <c r="E583" s="36"/>
      <c r="F583" s="480"/>
      <c r="G583" s="484"/>
      <c r="H583" s="51">
        <v>44944</v>
      </c>
      <c r="I583" s="71" t="s">
        <v>13</v>
      </c>
      <c r="J583" s="52">
        <f t="shared" si="55"/>
        <v>2733732.986039774</v>
      </c>
      <c r="K583" s="52">
        <v>9999996</v>
      </c>
      <c r="L583" s="53">
        <f t="shared" si="53"/>
        <v>90000007.999200001</v>
      </c>
      <c r="M583" s="103">
        <f t="shared" si="54"/>
        <v>12733728.986039774</v>
      </c>
      <c r="N583" s="25"/>
      <c r="O583" s="197"/>
      <c r="P583" s="197"/>
      <c r="Q583" s="197"/>
    </row>
    <row r="584" spans="1:17" ht="15.95" customHeight="1" x14ac:dyDescent="0.25">
      <c r="A584" s="121"/>
      <c r="B584" s="23"/>
      <c r="C584" s="59" t="s">
        <v>27</v>
      </c>
      <c r="D584" s="66">
        <v>120000000</v>
      </c>
      <c r="E584" s="36"/>
      <c r="F584" s="480"/>
      <c r="G584" s="484"/>
      <c r="H584" s="51">
        <v>44975</v>
      </c>
      <c r="I584" s="71" t="s">
        <v>13</v>
      </c>
      <c r="J584" s="52">
        <f t="shared" si="55"/>
        <v>2460359.8077178565</v>
      </c>
      <c r="K584" s="52">
        <v>9999996</v>
      </c>
      <c r="L584" s="53">
        <f t="shared" si="53"/>
        <v>80000011.999200001</v>
      </c>
      <c r="M584" s="103">
        <f t="shared" si="54"/>
        <v>12460355.807717856</v>
      </c>
      <c r="N584" s="25"/>
      <c r="O584" s="197"/>
      <c r="P584" s="197"/>
      <c r="Q584" s="197"/>
    </row>
    <row r="585" spans="1:17" ht="15.95" customHeight="1" x14ac:dyDescent="0.25">
      <c r="A585" s="121"/>
      <c r="B585" s="23"/>
      <c r="C585" s="59" t="s">
        <v>26</v>
      </c>
      <c r="D585" s="66">
        <v>1</v>
      </c>
      <c r="E585" s="36"/>
      <c r="F585" s="480"/>
      <c r="G585" s="484"/>
      <c r="H585" s="51">
        <v>45003</v>
      </c>
      <c r="I585" s="71" t="s">
        <v>13</v>
      </c>
      <c r="J585" s="52">
        <f t="shared" si="55"/>
        <v>1975342.7620350413</v>
      </c>
      <c r="K585" s="52">
        <v>9999996</v>
      </c>
      <c r="L585" s="53">
        <f t="shared" si="53"/>
        <v>70000015.999200001</v>
      </c>
      <c r="M585" s="103">
        <f t="shared" si="54"/>
        <v>11975338.762035042</v>
      </c>
      <c r="N585" s="25"/>
      <c r="O585" s="197"/>
      <c r="P585" s="197"/>
      <c r="Q585" s="197"/>
    </row>
    <row r="586" spans="1:17" ht="15.95" customHeight="1" x14ac:dyDescent="0.25">
      <c r="A586" s="121"/>
      <c r="B586" s="23"/>
      <c r="C586" s="59" t="s">
        <v>19</v>
      </c>
      <c r="D586" s="67" t="s">
        <v>20</v>
      </c>
      <c r="E586" s="36"/>
      <c r="F586" s="480"/>
      <c r="G586" s="484"/>
      <c r="H586" s="51">
        <v>45034</v>
      </c>
      <c r="I586" s="71" t="s">
        <v>13</v>
      </c>
      <c r="J586" s="52">
        <f t="shared" si="55"/>
        <v>1913613.4510740209</v>
      </c>
      <c r="K586" s="52">
        <v>9999996</v>
      </c>
      <c r="L586" s="53">
        <f t="shared" si="53"/>
        <v>60000019.999200001</v>
      </c>
      <c r="M586" s="103">
        <f t="shared" si="54"/>
        <v>11913609.451074021</v>
      </c>
      <c r="N586" s="25"/>
      <c r="O586" s="197"/>
      <c r="P586" s="197"/>
      <c r="Q586" s="197"/>
    </row>
    <row r="587" spans="1:17" ht="15.95" customHeight="1" x14ac:dyDescent="0.25">
      <c r="A587" s="121"/>
      <c r="B587" s="23"/>
      <c r="C587" s="59" t="s">
        <v>14</v>
      </c>
      <c r="D587" s="68">
        <v>6.4000000000000001E-2</v>
      </c>
      <c r="E587" s="36"/>
      <c r="F587" s="480"/>
      <c r="G587" s="484"/>
      <c r="H587" s="51">
        <v>45064</v>
      </c>
      <c r="I587" s="71" t="s">
        <v>13</v>
      </c>
      <c r="J587" s="52">
        <f t="shared" si="55"/>
        <v>1587329.2962117123</v>
      </c>
      <c r="K587" s="52">
        <v>9999996</v>
      </c>
      <c r="L587" s="53">
        <f t="shared" si="53"/>
        <v>50000023.999200001</v>
      </c>
      <c r="M587" s="103">
        <f t="shared" si="54"/>
        <v>11587325.296211712</v>
      </c>
      <c r="N587" s="25"/>
      <c r="O587" s="197"/>
      <c r="P587" s="197"/>
      <c r="Q587" s="197"/>
    </row>
    <row r="588" spans="1:17" ht="15.95" customHeight="1" x14ac:dyDescent="0.25">
      <c r="A588" s="121"/>
      <c r="B588" s="23"/>
      <c r="C588" s="59" t="s">
        <v>31</v>
      </c>
      <c r="D588" s="68"/>
      <c r="E588" s="41"/>
      <c r="F588" s="480"/>
      <c r="G588" s="484"/>
      <c r="H588" s="51">
        <v>45095</v>
      </c>
      <c r="I588" s="71" t="s">
        <v>13</v>
      </c>
      <c r="J588" s="52">
        <f t="shared" si="55"/>
        <v>1366867.0944301849</v>
      </c>
      <c r="K588" s="52">
        <v>9999996</v>
      </c>
      <c r="L588" s="53">
        <f t="shared" si="53"/>
        <v>40000027.999200001</v>
      </c>
      <c r="M588" s="103">
        <f t="shared" si="54"/>
        <v>11366863.094430186</v>
      </c>
      <c r="N588" s="25"/>
      <c r="O588" s="197"/>
      <c r="P588" s="197"/>
      <c r="Q588" s="197"/>
    </row>
    <row r="589" spans="1:17" ht="15.95" customHeight="1" x14ac:dyDescent="0.25">
      <c r="A589" s="121"/>
      <c r="B589" s="23"/>
      <c r="C589" s="59" t="s">
        <v>32</v>
      </c>
      <c r="D589" s="68"/>
      <c r="E589" s="36"/>
      <c r="F589" s="480"/>
      <c r="G589" s="484"/>
      <c r="H589" s="51">
        <v>45125</v>
      </c>
      <c r="I589" s="71" t="s">
        <v>13</v>
      </c>
      <c r="J589" s="52">
        <f t="shared" si="55"/>
        <v>1058219.9188144521</v>
      </c>
      <c r="K589" s="52">
        <v>9999996</v>
      </c>
      <c r="L589" s="53">
        <f t="shared" si="53"/>
        <v>30000031.999200001</v>
      </c>
      <c r="M589" s="103">
        <f t="shared" si="54"/>
        <v>11058215.918814452</v>
      </c>
      <c r="N589" s="25"/>
      <c r="O589" s="197"/>
      <c r="P589" s="197"/>
      <c r="Q589" s="197"/>
    </row>
    <row r="590" spans="1:17" ht="15.95" customHeight="1" x14ac:dyDescent="0.25">
      <c r="A590" s="121"/>
      <c r="B590" s="23"/>
      <c r="C590" s="59" t="s">
        <v>93</v>
      </c>
      <c r="D590" s="68">
        <v>8.3333333339999996E-2</v>
      </c>
      <c r="E590" s="43"/>
      <c r="F590" s="480"/>
      <c r="G590" s="484"/>
      <c r="H590" s="51">
        <v>45156</v>
      </c>
      <c r="I590" s="71" t="s">
        <v>13</v>
      </c>
      <c r="J590" s="52">
        <f t="shared" si="55"/>
        <v>820120.73778634937</v>
      </c>
      <c r="K590" s="52">
        <v>9999996</v>
      </c>
      <c r="L590" s="53">
        <f t="shared" si="53"/>
        <v>20000035.999200001</v>
      </c>
      <c r="M590" s="103">
        <f t="shared" si="54"/>
        <v>10820116.737786349</v>
      </c>
      <c r="N590" s="25"/>
      <c r="O590" s="197"/>
      <c r="P590" s="197"/>
      <c r="Q590" s="197"/>
    </row>
    <row r="591" spans="1:17" ht="15.95" customHeight="1" x14ac:dyDescent="0.25">
      <c r="A591" s="121"/>
      <c r="B591" s="23"/>
      <c r="C591" s="60"/>
      <c r="D591" s="110"/>
      <c r="E591" s="43"/>
      <c r="F591" s="480"/>
      <c r="G591" s="484"/>
      <c r="H591" s="51">
        <v>45187</v>
      </c>
      <c r="I591" s="71" t="s">
        <v>13</v>
      </c>
      <c r="J591" s="52">
        <f t="shared" si="55"/>
        <v>546747.5594644316</v>
      </c>
      <c r="K591" s="52">
        <v>9999996</v>
      </c>
      <c r="L591" s="53">
        <f t="shared" si="53"/>
        <v>10000039.999200001</v>
      </c>
      <c r="M591" s="103">
        <f t="shared" si="54"/>
        <v>10546743.559464432</v>
      </c>
      <c r="N591" s="25"/>
      <c r="O591" s="197"/>
      <c r="P591" s="197"/>
      <c r="Q591" s="197"/>
    </row>
    <row r="592" spans="1:17" ht="15.95" customHeight="1" x14ac:dyDescent="0.25">
      <c r="A592" s="121"/>
      <c r="B592" s="23"/>
      <c r="C592" s="24"/>
      <c r="D592" s="24"/>
      <c r="E592" s="24"/>
      <c r="F592" s="480"/>
      <c r="G592" s="485"/>
      <c r="H592" s="51">
        <v>45217</v>
      </c>
      <c r="I592" s="71" t="s">
        <v>13</v>
      </c>
      <c r="J592" s="52">
        <f t="shared" si="55"/>
        <v>264555.85271856165</v>
      </c>
      <c r="K592" s="52">
        <v>9999996</v>
      </c>
      <c r="L592" s="53">
        <v>0</v>
      </c>
      <c r="M592" s="103">
        <f t="shared" si="54"/>
        <v>10264551.852718562</v>
      </c>
      <c r="N592" s="25"/>
      <c r="O592" s="197"/>
      <c r="P592" s="197"/>
      <c r="Q592" s="197"/>
    </row>
    <row r="593" spans="1:17" ht="15.95" customHeight="1" x14ac:dyDescent="0.25">
      <c r="A593" s="121"/>
      <c r="B593" s="23"/>
      <c r="C593" s="24"/>
      <c r="D593" s="24"/>
      <c r="E593" s="24"/>
      <c r="F593" s="480"/>
      <c r="G593" s="485"/>
      <c r="N593" s="25"/>
      <c r="O593" s="197"/>
      <c r="P593" s="197"/>
      <c r="Q593" s="197"/>
    </row>
    <row r="594" spans="1:17" ht="15.95" customHeight="1" x14ac:dyDescent="0.25">
      <c r="A594" s="121"/>
      <c r="B594" s="23"/>
      <c r="C594" s="24"/>
      <c r="D594" s="24"/>
      <c r="E594" s="24"/>
      <c r="F594" s="480"/>
      <c r="G594" s="485"/>
      <c r="N594" s="25"/>
      <c r="O594" s="197"/>
      <c r="P594" s="197"/>
      <c r="Q594" s="197"/>
    </row>
    <row r="595" spans="1:17" ht="15.95" customHeight="1" x14ac:dyDescent="0.25">
      <c r="A595" s="121"/>
      <c r="B595" s="23"/>
      <c r="C595" s="24"/>
      <c r="D595" s="24"/>
      <c r="E595" s="24"/>
      <c r="F595" s="480"/>
      <c r="G595" s="485"/>
      <c r="H595" s="656" t="s">
        <v>43</v>
      </c>
      <c r="I595" s="656"/>
      <c r="J595" s="92">
        <v>0</v>
      </c>
      <c r="K595" s="24"/>
      <c r="L595" s="33"/>
      <c r="M595" s="33"/>
      <c r="N595" s="25"/>
      <c r="O595" s="197"/>
      <c r="P595" s="197"/>
      <c r="Q595" s="197"/>
    </row>
    <row r="596" spans="1:17" ht="15.95" customHeight="1" x14ac:dyDescent="0.25">
      <c r="A596" s="121"/>
      <c r="B596" s="23"/>
      <c r="C596" s="24"/>
      <c r="D596" s="24"/>
      <c r="E596" s="24"/>
      <c r="F596" s="480"/>
      <c r="G596" s="485"/>
      <c r="H596" s="24"/>
      <c r="I596" s="24"/>
      <c r="J596" s="24"/>
      <c r="K596" s="24"/>
      <c r="L596" s="24"/>
      <c r="M596" s="24"/>
      <c r="N596" s="25"/>
      <c r="O596" s="197"/>
      <c r="P596" s="197"/>
      <c r="Q596" s="197"/>
    </row>
    <row r="597" spans="1:17" ht="15.95" customHeight="1" x14ac:dyDescent="0.25">
      <c r="A597" s="121"/>
      <c r="B597" s="23"/>
      <c r="C597" s="24"/>
      <c r="D597" s="24"/>
      <c r="E597" s="24"/>
      <c r="F597" s="480"/>
      <c r="G597" s="485"/>
      <c r="H597" s="638" t="s">
        <v>44</v>
      </c>
      <c r="I597" s="639"/>
      <c r="J597" s="639"/>
      <c r="K597" s="639"/>
      <c r="L597" s="639"/>
      <c r="M597" s="640"/>
      <c r="N597" s="25"/>
      <c r="O597" s="197"/>
      <c r="P597" s="197"/>
      <c r="Q597" s="197"/>
    </row>
    <row r="598" spans="1:17" ht="15.95" customHeight="1" x14ac:dyDescent="0.25">
      <c r="A598" s="121"/>
      <c r="B598" s="23"/>
      <c r="C598" s="24"/>
      <c r="D598" s="24"/>
      <c r="E598" s="24"/>
      <c r="F598" s="480"/>
      <c r="G598" s="485"/>
      <c r="H598" s="23"/>
      <c r="I598" s="24"/>
      <c r="J598" s="24"/>
      <c r="K598" s="24"/>
      <c r="L598" s="24"/>
      <c r="M598" s="25"/>
      <c r="N598" s="25"/>
      <c r="O598" s="197"/>
      <c r="P598" s="197"/>
      <c r="Q598" s="197"/>
    </row>
    <row r="599" spans="1:17" ht="15.95" customHeight="1" x14ac:dyDescent="0.25">
      <c r="A599" s="121"/>
      <c r="B599" s="23"/>
      <c r="C599" s="24"/>
      <c r="D599" s="24"/>
      <c r="E599" s="24"/>
      <c r="F599" s="480"/>
      <c r="G599" s="485"/>
      <c r="H599" s="23"/>
      <c r="I599" s="24"/>
      <c r="J599" s="24"/>
      <c r="K599" s="24"/>
      <c r="L599" s="24"/>
      <c r="M599" s="25"/>
      <c r="N599" s="25"/>
      <c r="O599" s="197"/>
      <c r="P599" s="197"/>
      <c r="Q599" s="197"/>
    </row>
    <row r="600" spans="1:17" ht="15.95" customHeight="1" x14ac:dyDescent="0.25">
      <c r="A600" s="121"/>
      <c r="B600" s="23"/>
      <c r="C600" s="24"/>
      <c r="D600" s="24"/>
      <c r="E600" s="24"/>
      <c r="F600" s="480"/>
      <c r="G600" s="485"/>
      <c r="H600" s="96"/>
      <c r="I600" s="35"/>
      <c r="J600" s="24"/>
      <c r="K600" s="24"/>
      <c r="L600" s="24"/>
      <c r="M600" s="25"/>
      <c r="N600" s="25"/>
      <c r="O600" s="197"/>
      <c r="P600" s="197"/>
      <c r="Q600" s="197"/>
    </row>
    <row r="601" spans="1:17" ht="15.95" customHeight="1" x14ac:dyDescent="0.25">
      <c r="A601" s="121"/>
      <c r="B601" s="23"/>
      <c r="C601" s="24"/>
      <c r="D601" s="24"/>
      <c r="E601" s="24"/>
      <c r="F601" s="480"/>
      <c r="G601" s="485"/>
      <c r="H601" s="23"/>
      <c r="I601" s="24"/>
      <c r="J601" s="24"/>
      <c r="K601" s="24"/>
      <c r="L601" s="24"/>
      <c r="M601" s="25"/>
      <c r="N601" s="25"/>
      <c r="O601" s="197"/>
      <c r="P601" s="197"/>
      <c r="Q601" s="197"/>
    </row>
    <row r="602" spans="1:17" ht="15.95" customHeight="1" x14ac:dyDescent="0.25">
      <c r="A602" s="121"/>
      <c r="B602" s="23"/>
      <c r="C602" s="24"/>
      <c r="D602" s="24"/>
      <c r="E602" s="24"/>
      <c r="F602" s="480"/>
      <c r="G602" s="485"/>
      <c r="H602" s="23"/>
      <c r="I602" s="24"/>
      <c r="J602" s="24"/>
      <c r="K602" s="24"/>
      <c r="L602" s="24"/>
      <c r="M602" s="25"/>
      <c r="N602" s="25"/>
      <c r="O602" s="197"/>
      <c r="P602" s="197"/>
      <c r="Q602" s="197"/>
    </row>
    <row r="603" spans="1:17" ht="15.95" customHeight="1" x14ac:dyDescent="0.25">
      <c r="A603" s="121"/>
      <c r="B603" s="23"/>
      <c r="C603" s="24"/>
      <c r="D603" s="24"/>
      <c r="E603" s="24"/>
      <c r="F603" s="480"/>
      <c r="G603" s="485"/>
      <c r="H603" s="23"/>
      <c r="I603" s="24"/>
      <c r="J603" s="24"/>
      <c r="K603" s="24"/>
      <c r="L603" s="24"/>
      <c r="M603" s="25"/>
      <c r="N603" s="25"/>
      <c r="O603" s="197"/>
      <c r="P603" s="197"/>
      <c r="Q603" s="197"/>
    </row>
    <row r="604" spans="1:17" ht="15.95" customHeight="1" x14ac:dyDescent="0.25">
      <c r="A604" s="121"/>
      <c r="B604" s="23"/>
      <c r="C604" s="24"/>
      <c r="D604" s="24"/>
      <c r="E604" s="24"/>
      <c r="F604" s="480"/>
      <c r="G604" s="485"/>
      <c r="H604" s="23"/>
      <c r="I604" s="24"/>
      <c r="J604" s="24"/>
      <c r="K604" s="24"/>
      <c r="L604" s="24"/>
      <c r="M604" s="25"/>
      <c r="N604" s="25"/>
      <c r="O604" s="197"/>
      <c r="P604" s="197"/>
      <c r="Q604" s="197"/>
    </row>
    <row r="605" spans="1:17" ht="15.95" customHeight="1" x14ac:dyDescent="0.25">
      <c r="A605" s="121"/>
      <c r="B605" s="23"/>
      <c r="C605" s="24"/>
      <c r="D605" s="24"/>
      <c r="E605" s="24"/>
      <c r="F605" s="480"/>
      <c r="G605" s="485"/>
      <c r="H605" s="23"/>
      <c r="I605" s="24"/>
      <c r="J605" s="24"/>
      <c r="K605" s="24"/>
      <c r="L605" s="24"/>
      <c r="M605" s="25"/>
      <c r="N605" s="25"/>
      <c r="O605" s="197"/>
      <c r="P605" s="197"/>
      <c r="Q605" s="197"/>
    </row>
    <row r="606" spans="1:17" ht="15.95" customHeight="1" x14ac:dyDescent="0.25">
      <c r="A606" s="121"/>
      <c r="B606" s="23"/>
      <c r="C606" s="24"/>
      <c r="D606" s="24"/>
      <c r="E606" s="24"/>
      <c r="F606" s="480"/>
      <c r="G606" s="485"/>
      <c r="H606" s="23"/>
      <c r="I606" s="24"/>
      <c r="J606" s="24"/>
      <c r="K606" s="24"/>
      <c r="L606" s="24"/>
      <c r="M606" s="25"/>
      <c r="N606" s="25"/>
      <c r="O606" s="197"/>
      <c r="P606" s="197"/>
      <c r="Q606" s="197"/>
    </row>
    <row r="607" spans="1:17" ht="15.95" customHeight="1" x14ac:dyDescent="0.25">
      <c r="A607" s="121"/>
      <c r="B607" s="23"/>
      <c r="C607" s="24"/>
      <c r="D607" s="24"/>
      <c r="E607" s="24"/>
      <c r="F607" s="480"/>
      <c r="G607" s="485"/>
      <c r="H607" s="23"/>
      <c r="I607" s="24"/>
      <c r="J607" s="24"/>
      <c r="K607" s="24"/>
      <c r="L607" s="24"/>
      <c r="M607" s="25"/>
      <c r="N607" s="25"/>
      <c r="O607" s="197"/>
      <c r="P607" s="197"/>
      <c r="Q607" s="197"/>
    </row>
    <row r="608" spans="1:17" ht="15.95" customHeight="1" x14ac:dyDescent="0.25">
      <c r="A608" s="121"/>
      <c r="B608" s="23"/>
      <c r="C608" s="24"/>
      <c r="D608" s="24"/>
      <c r="E608" s="24"/>
      <c r="F608" s="480"/>
      <c r="G608" s="485"/>
      <c r="H608" s="23"/>
      <c r="I608" s="24"/>
      <c r="J608" s="24"/>
      <c r="K608" s="24"/>
      <c r="L608" s="24"/>
      <c r="M608" s="25"/>
      <c r="N608" s="25"/>
      <c r="O608" s="197"/>
      <c r="P608" s="197"/>
      <c r="Q608" s="197"/>
    </row>
    <row r="609" spans="1:17" ht="15.95" customHeight="1" x14ac:dyDescent="0.25">
      <c r="A609" s="121"/>
      <c r="B609" s="23"/>
      <c r="C609" s="24"/>
      <c r="D609" s="24"/>
      <c r="E609" s="24"/>
      <c r="F609" s="480"/>
      <c r="G609" s="485"/>
      <c r="H609" s="23"/>
      <c r="I609" s="24"/>
      <c r="J609" s="24"/>
      <c r="K609" s="24"/>
      <c r="L609" s="24"/>
      <c r="M609" s="25"/>
      <c r="N609" s="25"/>
      <c r="O609" s="197"/>
      <c r="P609" s="197"/>
      <c r="Q609" s="197"/>
    </row>
    <row r="610" spans="1:17" ht="15.95" customHeight="1" x14ac:dyDescent="0.25">
      <c r="A610" s="121"/>
      <c r="B610" s="23"/>
      <c r="C610" s="24"/>
      <c r="D610" s="24"/>
      <c r="E610" s="24"/>
      <c r="F610" s="480"/>
      <c r="G610" s="485"/>
      <c r="H610" s="26"/>
      <c r="I610" s="27"/>
      <c r="J610" s="27"/>
      <c r="K610" s="27"/>
      <c r="L610" s="27"/>
      <c r="M610" s="28"/>
      <c r="N610" s="25"/>
      <c r="O610" s="197"/>
      <c r="P610" s="197"/>
      <c r="Q610" s="197"/>
    </row>
    <row r="611" spans="1:17" ht="15.95" customHeight="1" x14ac:dyDescent="0.25">
      <c r="A611" s="121"/>
      <c r="B611" s="26"/>
      <c r="C611" s="27"/>
      <c r="D611" s="27"/>
      <c r="E611" s="27"/>
      <c r="F611" s="481"/>
      <c r="G611" s="486"/>
      <c r="H611" s="27"/>
      <c r="I611" s="27"/>
      <c r="J611" s="27"/>
      <c r="K611" s="27"/>
      <c r="L611" s="27"/>
      <c r="M611" s="27"/>
      <c r="N611" s="28"/>
      <c r="O611" s="197"/>
      <c r="P611" s="197"/>
      <c r="Q611" s="197"/>
    </row>
    <row r="612" spans="1:17" ht="15.95" customHeight="1" x14ac:dyDescent="0.25">
      <c r="A612" s="122" t="s">
        <v>7</v>
      </c>
      <c r="B612" s="661" t="s">
        <v>105</v>
      </c>
      <c r="C612" s="662"/>
      <c r="D612" s="662"/>
      <c r="E612" s="662"/>
      <c r="F612" s="662"/>
      <c r="G612" s="662"/>
      <c r="H612" s="662"/>
      <c r="I612" s="662"/>
      <c r="J612" s="662"/>
      <c r="K612" s="662"/>
      <c r="L612" s="662"/>
      <c r="M612" s="662"/>
      <c r="N612" s="663"/>
      <c r="O612" s="197"/>
      <c r="P612" s="197"/>
      <c r="Q612" s="197"/>
    </row>
    <row r="613" spans="1:17" ht="15.95" customHeight="1" x14ac:dyDescent="0.25">
      <c r="A613" s="121"/>
      <c r="B613" s="23"/>
      <c r="C613" s="24"/>
      <c r="D613" s="24"/>
      <c r="E613" s="24"/>
      <c r="F613" s="483"/>
      <c r="G613" s="484"/>
      <c r="H613" s="31"/>
      <c r="I613" s="31"/>
      <c r="J613" s="24"/>
      <c r="K613" s="24"/>
      <c r="L613" s="24"/>
      <c r="M613" s="24"/>
      <c r="N613" s="25"/>
      <c r="O613" s="197"/>
      <c r="P613" s="197"/>
      <c r="Q613" s="197"/>
    </row>
    <row r="614" spans="1:17" ht="15.95" customHeight="1" x14ac:dyDescent="0.25">
      <c r="A614" s="121"/>
      <c r="B614" s="23"/>
      <c r="C614" s="638" t="s">
        <v>37</v>
      </c>
      <c r="D614" s="639"/>
      <c r="E614" s="640"/>
      <c r="F614" s="483"/>
      <c r="G614" s="484"/>
      <c r="H614" s="641" t="s">
        <v>28</v>
      </c>
      <c r="I614" s="642"/>
      <c r="J614" s="39">
        <f t="array" ref="J614">+$D$632-SUMIF($H$620:$H$634,"&lt;"&amp;$M$4,$K$620:$K$634)</f>
        <v>0</v>
      </c>
      <c r="K614" s="24"/>
      <c r="L614" s="24"/>
      <c r="M614" s="24"/>
      <c r="N614" s="25"/>
      <c r="O614" s="197"/>
      <c r="P614" s="197"/>
      <c r="Q614" s="197"/>
    </row>
    <row r="615" spans="1:17" ht="20.100000000000001" customHeight="1" x14ac:dyDescent="0.25">
      <c r="A615" s="121"/>
      <c r="B615" s="23"/>
      <c r="C615" s="58"/>
      <c r="D615" s="664"/>
      <c r="E615" s="665"/>
      <c r="F615" s="483"/>
      <c r="G615" s="484"/>
      <c r="H615" s="645" t="s">
        <v>29</v>
      </c>
      <c r="I615" s="646"/>
      <c r="J615" s="40">
        <f>+$D$631</f>
        <v>44584</v>
      </c>
      <c r="K615" s="24"/>
      <c r="L615" s="24"/>
      <c r="M615" s="24"/>
      <c r="N615" s="25"/>
      <c r="O615" s="195"/>
    </row>
    <row r="616" spans="1:17" ht="15.95" customHeight="1" x14ac:dyDescent="0.25">
      <c r="A616" s="121"/>
      <c r="B616" s="23"/>
      <c r="C616" s="59" t="s">
        <v>25</v>
      </c>
      <c r="D616" s="658"/>
      <c r="E616" s="659"/>
      <c r="F616" s="483"/>
      <c r="G616" s="484"/>
      <c r="H616" s="649" t="s">
        <v>30</v>
      </c>
      <c r="I616" s="650"/>
      <c r="J616" s="42" t="str">
        <f t="array" ref="J616">+IF(H633&gt;=$M$4,MIN(IF($H$621:$H$633&gt;=$M$4,$H$621:$H$633,"")),"vencida")</f>
        <v>vencida</v>
      </c>
      <c r="K616" s="24"/>
      <c r="L616" s="24"/>
      <c r="M616" s="24"/>
      <c r="N616" s="25"/>
      <c r="O616" s="195"/>
    </row>
    <row r="617" spans="1:17" ht="15.95" customHeight="1" x14ac:dyDescent="0.25">
      <c r="A617" s="121"/>
      <c r="B617" s="23"/>
      <c r="C617" s="59" t="s">
        <v>6</v>
      </c>
      <c r="D617" s="658" t="s">
        <v>106</v>
      </c>
      <c r="E617" s="659"/>
      <c r="F617" s="483"/>
      <c r="G617" s="484"/>
      <c r="H617" s="24"/>
      <c r="I617" s="24"/>
      <c r="J617" s="24"/>
      <c r="K617" s="24"/>
      <c r="L617" s="24"/>
      <c r="M617" s="24"/>
      <c r="N617" s="25"/>
      <c r="O617" s="194" t="str">
        <f>+D699</f>
        <v>ON Pyme CNV Garantizada</v>
      </c>
    </row>
    <row r="618" spans="1:17" ht="15.95" customHeight="1" x14ac:dyDescent="0.25">
      <c r="A618" s="121"/>
      <c r="B618" s="23"/>
      <c r="C618" s="59" t="s">
        <v>8</v>
      </c>
      <c r="D618" s="658" t="s">
        <v>17</v>
      </c>
      <c r="E618" s="659"/>
      <c r="F618" s="483"/>
      <c r="G618" s="484"/>
      <c r="H618" s="651" t="s">
        <v>41</v>
      </c>
      <c r="I618" s="652"/>
      <c r="J618" s="652"/>
      <c r="K618" s="652"/>
      <c r="L618" s="653"/>
      <c r="M618" s="24"/>
      <c r="N618" s="25"/>
      <c r="O618" s="195"/>
    </row>
    <row r="619" spans="1:17" ht="15.95" customHeight="1" x14ac:dyDescent="0.25">
      <c r="A619" s="121"/>
      <c r="B619" s="23"/>
      <c r="C619" s="59" t="s">
        <v>33</v>
      </c>
      <c r="D619" s="73" t="s">
        <v>325</v>
      </c>
      <c r="E619" s="273">
        <v>1</v>
      </c>
      <c r="F619" s="483">
        <f>+E619*J614</f>
        <v>0</v>
      </c>
      <c r="G619" s="484"/>
      <c r="H619" s="81" t="s">
        <v>0</v>
      </c>
      <c r="I619" s="82" t="s">
        <v>2</v>
      </c>
      <c r="J619" s="82" t="s">
        <v>3</v>
      </c>
      <c r="K619" s="82" t="s">
        <v>4</v>
      </c>
      <c r="L619" s="83" t="s">
        <v>5</v>
      </c>
      <c r="M619" s="82" t="s">
        <v>44</v>
      </c>
      <c r="N619" s="25"/>
      <c r="O619" s="194" t="str">
        <f>+IF(J697="vencida",IF(D699='Reporte - Oscuro'!$C$40,'Reporte - Oscuro'!$C$40&amp;" vencida",IF(D699='Reporte - Oscuro'!$C$41,'Reporte - Oscuro'!$C$41&amp;" vencida",IF(D699='Reporte - Oscuro'!$C$42,'Reporte - Oscuro'!$C$42&amp;" vencida",'Reporte - Oscuro'!$C$43&amp;" vencida"))),D699&amp;" vigente")</f>
        <v>ON Pyme CNV Garantizada vencida</v>
      </c>
    </row>
    <row r="620" spans="1:17" ht="15.95" customHeight="1" x14ac:dyDescent="0.25">
      <c r="A620" s="121"/>
      <c r="B620" s="23"/>
      <c r="C620" s="59" t="s">
        <v>34</v>
      </c>
      <c r="D620" s="658" t="s">
        <v>48</v>
      </c>
      <c r="E620" s="659"/>
      <c r="F620" s="483"/>
      <c r="G620" s="484"/>
      <c r="H620" s="45"/>
      <c r="I620" s="46"/>
      <c r="J620" s="46"/>
      <c r="K620" s="46"/>
      <c r="L620" s="47"/>
      <c r="M620" s="23"/>
      <c r="N620" s="25"/>
      <c r="O620" s="195"/>
    </row>
    <row r="621" spans="1:17" ht="15.95" customHeight="1" x14ac:dyDescent="0.25">
      <c r="A621" s="121"/>
      <c r="B621" s="23"/>
      <c r="C621" s="79" t="s">
        <v>38</v>
      </c>
      <c r="D621" s="75"/>
      <c r="E621" s="76"/>
      <c r="F621" s="483"/>
      <c r="G621" s="484"/>
      <c r="H621" s="48">
        <f>+$D$630</f>
        <v>43488</v>
      </c>
      <c r="I621" s="70"/>
      <c r="J621" s="49"/>
      <c r="K621" s="49"/>
      <c r="L621" s="50">
        <f>+D632</f>
        <v>4000000</v>
      </c>
      <c r="M621" s="93">
        <f>-L621</f>
        <v>-4000000</v>
      </c>
      <c r="N621" s="25"/>
      <c r="O621" s="195"/>
    </row>
    <row r="622" spans="1:17" ht="15.95" customHeight="1" x14ac:dyDescent="0.25">
      <c r="A622" s="121"/>
      <c r="B622" s="23"/>
      <c r="C622" s="59"/>
      <c r="D622" s="73"/>
      <c r="E622" s="74"/>
      <c r="F622" s="483"/>
      <c r="G622" s="484"/>
      <c r="H622" s="51">
        <f>IF(DAY(H621)=DAY($H$621),IF(WEEKDAY(EDATE(H621,$D$633),3)&lt;5,EDATE(H621,$D$633),WORKDAY(EDATE(H621,$D$633),1)),IF(WEEKDAY(EDATE($H$621,$D$633*COUNT($H$621:H621)),3)&lt;5,EDATE($H$621,$D$633*COUNT($H$621:H621)),WORKDAY(EDATE($H$621,$D$633*COUNT($H$621:H621)),1)))</f>
        <v>43578</v>
      </c>
      <c r="I622" s="71" t="s">
        <v>7</v>
      </c>
      <c r="J622" s="52">
        <f>(IF(AND($D$636&lt;&gt;"",$D$636&gt;(AVERAGE(VLOOKUP(WORKDAY.INTL(H622,-7,1,),'Tasas-TC'!A:B,2,FALSE),VLOOKUP(WORKDAY.INTL(H621,-7,1,),'Tasas-TC'!A:B,2,FALSE))+$D$635)),$D$636,IF(AND($D$637&lt;&gt;"",$D$637&lt;(AVERAGE(VLOOKUP(WORKDAY.INTL(H622,-7,1,),'Tasas-TC'!A:B,2,FALSE),VLOOKUP(WORKDAY.INTL(H621,-7,1,),'Tasas-TC'!A:B,2,FALSE))+$D$635)),$D$637,(AVERAGE(VLOOKUP(WORKDAY.INTL(H622,-7,1,),'Tasas-TC'!A:B,2,FALSE),VLOOKUP(WORKDAY.INTL(H621,-7,1,),'Tasas-TC'!A:B,2,FALSE))+$D$635)))/360)*(H622-H621)*L621</f>
        <v>549999.99999999988</v>
      </c>
      <c r="K622" s="52">
        <f t="shared" ref="K622:K632" si="57">+IF(OR(I622="A + C",I622="A"),$D$632*$D$638,0)</f>
        <v>0</v>
      </c>
      <c r="L622" s="53">
        <f t="shared" ref="L622:L633" si="58">+L621-K622</f>
        <v>4000000</v>
      </c>
      <c r="M622" s="94">
        <f t="shared" ref="M622:M633" si="59">+J622+K622</f>
        <v>549999.99999999988</v>
      </c>
      <c r="N622" s="25"/>
      <c r="O622" s="195"/>
    </row>
    <row r="623" spans="1:17" ht="15.95" customHeight="1" x14ac:dyDescent="0.25">
      <c r="A623" s="121"/>
      <c r="B623" s="23"/>
      <c r="C623" s="60"/>
      <c r="D623" s="77"/>
      <c r="E623" s="78"/>
      <c r="F623" s="483"/>
      <c r="G623" s="484"/>
      <c r="H623" s="51">
        <f>IF(DAY(H622)=DAY($H$621),IF(WEEKDAY(EDATE(H622,$D$633),3)&lt;5,EDATE(H622,$D$633),WORKDAY(EDATE(H622,$D$633),1)),IF(WEEKDAY(EDATE($H$621,$D$633*COUNT($H$621:H622)),3)&lt;5,EDATE($H$621,$D$633*COUNT($H$621:H622)),WORKDAY(EDATE($H$621,$D$633*COUNT($H$621:H622)),1)))</f>
        <v>43669</v>
      </c>
      <c r="I623" s="71" t="s">
        <v>7</v>
      </c>
      <c r="J623" s="52">
        <f>(IF(AND($D$636&lt;&gt;"",$D$636&gt;(AVERAGE(VLOOKUP(WORKDAY.INTL(H623,-7,1,),'Tasas-TC'!A:B,2,FALSE),VLOOKUP(WORKDAY.INTL(H622,-7,1,),'Tasas-TC'!A:B,2,FALSE))+$D$635)),$D$636,IF(AND($D$637&lt;&gt;"",$D$637&lt;(AVERAGE(VLOOKUP(WORKDAY.INTL(H623,-7,1,),'Tasas-TC'!A:B,2,FALSE),VLOOKUP(WORKDAY.INTL(H622,-7,1,),'Tasas-TC'!A:B,2,FALSE))+$D$635)),$D$637,(AVERAGE(VLOOKUP(WORKDAY.INTL(H623,-7,1,),'Tasas-TC'!A:B,2,FALSE),VLOOKUP(WORKDAY.INTL(H622,-7,1,),'Tasas-TC'!A:B,2,FALSE))+$D$635)))/360)*(H623-H622)*L622</f>
        <v>564642.36111111112</v>
      </c>
      <c r="K623" s="52">
        <f t="shared" si="57"/>
        <v>0</v>
      </c>
      <c r="L623" s="53">
        <f t="shared" si="58"/>
        <v>4000000</v>
      </c>
      <c r="M623" s="94">
        <f t="shared" si="59"/>
        <v>564642.36111111112</v>
      </c>
      <c r="N623" s="25"/>
      <c r="O623" s="195"/>
    </row>
    <row r="624" spans="1:17" ht="15.95" customHeight="1" x14ac:dyDescent="0.25">
      <c r="A624" s="121"/>
      <c r="B624" s="23"/>
      <c r="C624" s="60"/>
      <c r="D624" s="55" t="str">
        <f>+B612</f>
        <v>Calzetta I</v>
      </c>
      <c r="E624" s="64"/>
      <c r="F624" s="483"/>
      <c r="G624" s="484">
        <f>+J614</f>
        <v>0</v>
      </c>
      <c r="H624" s="51">
        <f>IF(DAY(H623)=DAY($H$621),IF(WEEKDAY(EDATE(H623,$D$633),3)&lt;5,EDATE(H623,$D$633),WORKDAY(EDATE(H623,$D$633),1)),IF(WEEKDAY(EDATE($H$621,$D$633*COUNT($H$621:H623)),3)&lt;5,EDATE($H$621,$D$633*COUNT($H$621:H623)),WORKDAY(EDATE($H$621,$D$633*COUNT($H$621:H623)),1)))</f>
        <v>43761</v>
      </c>
      <c r="I624" s="71" t="s">
        <v>7</v>
      </c>
      <c r="J624" s="52">
        <f>(IF(AND($D$636&lt;&gt;"",$D$636&gt;(AVERAGE(VLOOKUP(WORKDAY.INTL(H624,-7,1,),'Tasas-TC'!A:B,2,FALSE),VLOOKUP(WORKDAY.INTL(H623,-7,1,),'Tasas-TC'!A:B,2,FALSE))+$D$635)),$D$636,IF(AND($D$637&lt;&gt;"",$D$637&lt;(AVERAGE(VLOOKUP(WORKDAY.INTL(H624,-7,1,),'Tasas-TC'!A:B,2,FALSE),VLOOKUP(WORKDAY.INTL(H623,-7,1,),'Tasas-TC'!A:B,2,FALSE))+$D$635)),$D$637,(AVERAGE(VLOOKUP(WORKDAY.INTL(H624,-7,1,),'Tasas-TC'!A:B,2,FALSE),VLOOKUP(WORKDAY.INTL(H623,-7,1,),'Tasas-TC'!A:B,2,FALSE))+$D$635)))/360)*(H624-H623)*L623</f>
        <v>606305.55555555562</v>
      </c>
      <c r="K624" s="52">
        <f t="shared" si="57"/>
        <v>0</v>
      </c>
      <c r="L624" s="53">
        <f t="shared" si="58"/>
        <v>4000000</v>
      </c>
      <c r="M624" s="94">
        <f t="shared" si="59"/>
        <v>606305.55555555562</v>
      </c>
      <c r="N624" s="25"/>
      <c r="O624" s="197">
        <f>+M702</f>
        <v>-25000000</v>
      </c>
      <c r="P624" s="197"/>
      <c r="Q624" s="197"/>
    </row>
    <row r="625" spans="1:17" ht="15.95" customHeight="1" x14ac:dyDescent="0.25">
      <c r="A625" s="121"/>
      <c r="B625" s="32"/>
      <c r="D625" s="644"/>
      <c r="E625" s="660"/>
      <c r="F625" s="483"/>
      <c r="G625" s="484"/>
      <c r="H625" s="51">
        <f>IF(DAY(H624)=DAY($H$621),IF(WEEKDAY(EDATE(H624,$D$633),3)&lt;5,EDATE(H624,$D$633),WORKDAY(EDATE(H624,$D$633),1)),IF(WEEKDAY(EDATE($H$621,$D$633*COUNT($H$621:H624)),3)&lt;5,EDATE($H$621,$D$633*COUNT($H$621:H624)),WORKDAY(EDATE($H$621,$D$633*COUNT($H$621:H624)),1)))</f>
        <v>43853</v>
      </c>
      <c r="I625" s="71" t="s">
        <v>13</v>
      </c>
      <c r="J625" s="52">
        <f>(IF(AND($D$636&lt;&gt;"",$D$636&gt;(AVERAGE(VLOOKUP(WORKDAY.INTL(H625,-7,1,),'Tasas-TC'!A:B,2,FALSE),VLOOKUP(WORKDAY.INTL(H624,-7,1,),'Tasas-TC'!A:B,2,FALSE))+$D$635)),$D$636,IF(AND($D$637&lt;&gt;"",$D$637&lt;(AVERAGE(VLOOKUP(WORKDAY.INTL(H625,-7,1,),'Tasas-TC'!A:B,2,FALSE),VLOOKUP(WORKDAY.INTL(H624,-7,1,),'Tasas-TC'!A:B,2,FALSE))+$D$635)),$D$637,(AVERAGE(VLOOKUP(WORKDAY.INTL(H625,-7,1,),'Tasas-TC'!A:B,2,FALSE),VLOOKUP(WORKDAY.INTL(H624,-7,1,),'Tasas-TC'!A:B,2,FALSE))+$D$635)))/360)*(H625-H624)*L624</f>
        <v>549763.88888888899</v>
      </c>
      <c r="K625" s="52">
        <f t="shared" si="57"/>
        <v>440000</v>
      </c>
      <c r="L625" s="53">
        <f t="shared" si="58"/>
        <v>3560000</v>
      </c>
      <c r="M625" s="94">
        <f t="shared" si="59"/>
        <v>989763.88888888899</v>
      </c>
      <c r="N625" s="25"/>
      <c r="O625" s="197">
        <f>+O624+M703</f>
        <v>-13493945.3125</v>
      </c>
      <c r="P625" s="197"/>
      <c r="Q625" s="197"/>
    </row>
    <row r="626" spans="1:17" ht="15.95" customHeight="1" x14ac:dyDescent="0.25">
      <c r="A626" s="121"/>
      <c r="B626" s="23"/>
      <c r="C626" s="638" t="s">
        <v>36</v>
      </c>
      <c r="D626" s="640"/>
      <c r="E626" s="36"/>
      <c r="F626" s="483"/>
      <c r="G626" s="484"/>
      <c r="H626" s="51">
        <f>IF(DAY(H625)=DAY($H$621),IF(WEEKDAY(EDATE(H625,$D$633),3)&lt;5,EDATE(H625,$D$633),WORKDAY(EDATE(H625,$D$633),1)),IF(WEEKDAY(EDATE($H$621,$D$633*COUNT($H$621:H625)),3)&lt;5,EDATE($H$621,$D$633*COUNT($H$621:H625)),WORKDAY(EDATE($H$621,$D$633*COUNT($H$621:H625)),1)))</f>
        <v>43944</v>
      </c>
      <c r="I626" s="71" t="s">
        <v>13</v>
      </c>
      <c r="J626" s="52">
        <f>(IF(AND($D$636&lt;&gt;"",$D$636&gt;(AVERAGE(VLOOKUP(WORKDAY.INTL(H626,-7,1,),'Tasas-TC'!A:B,2,FALSE),VLOOKUP(WORKDAY.INTL(H625,-7,1,),'Tasas-TC'!A:B,2,FALSE))+$D$635)),$D$636,IF(AND($D$637&lt;&gt;"",$D$637&lt;(AVERAGE(VLOOKUP(WORKDAY.INTL(H626,-7,1,),'Tasas-TC'!A:B,2,FALSE),VLOOKUP(WORKDAY.INTL(H625,-7,1,),'Tasas-TC'!A:B,2,FALSE))+$D$635)),$D$637,(AVERAGE(VLOOKUP(WORKDAY.INTL(H626,-7,1,),'Tasas-TC'!A:B,2,FALSE),VLOOKUP(WORKDAY.INTL(H625,-7,1,),'Tasas-TC'!A:B,2,FALSE))+$D$635)))/360)*(H626-H625)*L625</f>
        <v>317773.26388888893</v>
      </c>
      <c r="K626" s="52">
        <f t="shared" si="57"/>
        <v>440000</v>
      </c>
      <c r="L626" s="53">
        <f t="shared" si="58"/>
        <v>3120000</v>
      </c>
      <c r="M626" s="94">
        <f t="shared" si="59"/>
        <v>757773.26388888899</v>
      </c>
      <c r="N626" s="25"/>
      <c r="O626" s="197">
        <f>+O625+M704</f>
        <v>3073865.0173611119</v>
      </c>
      <c r="P626" s="197"/>
      <c r="Q626" s="197"/>
    </row>
    <row r="627" spans="1:17" ht="15.95" customHeight="1" x14ac:dyDescent="0.25">
      <c r="A627" s="121"/>
      <c r="B627" s="23"/>
      <c r="C627" s="59"/>
      <c r="D627" s="62"/>
      <c r="E627" s="36"/>
      <c r="F627" s="483"/>
      <c r="G627" s="484"/>
      <c r="H627" s="51">
        <f>IF(DAY(H626)=DAY($H$621),IF(WEEKDAY(EDATE(H626,$D$633),3)&lt;5,EDATE(H626,$D$633),WORKDAY(EDATE(H626,$D$633),1)),IF(WEEKDAY(EDATE($H$621,$D$633*COUNT($H$621:H626)),3)&lt;5,EDATE($H$621,$D$633*COUNT($H$621:H626)),WORKDAY(EDATE($H$621,$D$633*COUNT($H$621:H626)),1)))</f>
        <v>44035</v>
      </c>
      <c r="I627" s="71" t="s">
        <v>13</v>
      </c>
      <c r="J627" s="52">
        <f>(IF(AND($D$636&lt;&gt;"",$D$636&gt;(AVERAGE(VLOOKUP(WORKDAY.INTL(H627,-7,1,),'Tasas-TC'!A:B,2,FALSE),VLOOKUP(WORKDAY.INTL(H626,-7,1,),'Tasas-TC'!A:B,2,FALSE))+$D$635)),$D$636,IF(AND($D$637&lt;&gt;"",$D$637&lt;(AVERAGE(VLOOKUP(WORKDAY.INTL(H627,-7,1,),'Tasas-TC'!A:B,2,FALSE),VLOOKUP(WORKDAY.INTL(H626,-7,1,),'Tasas-TC'!A:B,2,FALSE))+$D$635)),$D$637,(AVERAGE(VLOOKUP(WORKDAY.INTL(H627,-7,1,),'Tasas-TC'!A:B,2,FALSE),VLOOKUP(WORKDAY.INTL(H626,-7,1,),'Tasas-TC'!A:B,2,FALSE))+$D$635)))/360)*(H627-H626)*L626</f>
        <v>251141.04166666672</v>
      </c>
      <c r="K627" s="52">
        <f t="shared" si="57"/>
        <v>440000</v>
      </c>
      <c r="L627" s="53">
        <f t="shared" si="58"/>
        <v>2680000</v>
      </c>
      <c r="M627" s="94">
        <f t="shared" si="59"/>
        <v>691141.04166666674</v>
      </c>
      <c r="N627" s="25"/>
      <c r="O627" s="197">
        <f>+O626+M705</f>
        <v>16111885.850694444</v>
      </c>
      <c r="P627" s="197"/>
      <c r="Q627" s="197"/>
    </row>
    <row r="628" spans="1:17" ht="15.95" customHeight="1" x14ac:dyDescent="0.25">
      <c r="A628" s="121"/>
      <c r="B628" s="23"/>
      <c r="C628" s="59" t="s">
        <v>9</v>
      </c>
      <c r="D628" s="98" t="s">
        <v>18</v>
      </c>
      <c r="E628" s="36"/>
      <c r="F628" s="483"/>
      <c r="G628" s="484"/>
      <c r="H628" s="51">
        <f>IF(DAY(H627)=DAY($H$621),IF(WEEKDAY(EDATE(H627,$D$633),3)&lt;5,EDATE(H627,$D$633),WORKDAY(EDATE(H627,$D$633),1)),IF(WEEKDAY(EDATE($H$621,$D$633*COUNT($H$621:H627)),3)&lt;5,EDATE($H$621,$D$633*COUNT($H$621:H627)),WORKDAY(EDATE($H$621,$D$633*COUNT($H$621:H627)),1)))</f>
        <v>44127</v>
      </c>
      <c r="I628" s="71" t="s">
        <v>13</v>
      </c>
      <c r="J628" s="52">
        <f>(IF(AND($D$636&lt;&gt;"",$D$636&gt;(AVERAGE(VLOOKUP(WORKDAY.INTL(H628,-7,1,),'Tasas-TC'!A:B,2,FALSE),VLOOKUP(WORKDAY.INTL(H627,-7,1,),'Tasas-TC'!A:B,2,FALSE))+$D$635)),$D$636,IF(AND($D$637&lt;&gt;"",$D$637&lt;(AVERAGE(VLOOKUP(WORKDAY.INTL(H628,-7,1,),'Tasas-TC'!A:B,2,FALSE),VLOOKUP(WORKDAY.INTL(H627,-7,1,),'Tasas-TC'!A:B,2,FALSE))+$D$635)),$D$637,(AVERAGE(VLOOKUP(WORKDAY.INTL(H628,-7,1,),'Tasas-TC'!A:B,2,FALSE),VLOOKUP(WORKDAY.INTL(H627,-7,1,),'Tasas-TC'!A:B,2,FALSE))+$D$635)))/360)*(H628-H627)*L627</f>
        <v>257475.41666666669</v>
      </c>
      <c r="K628" s="52">
        <f t="shared" si="57"/>
        <v>440000</v>
      </c>
      <c r="L628" s="53">
        <f t="shared" si="58"/>
        <v>2240000</v>
      </c>
      <c r="M628" s="94">
        <f t="shared" si="59"/>
        <v>697475.41666666674</v>
      </c>
      <c r="N628" s="25"/>
      <c r="O628" s="197">
        <f>+O627+M706</f>
        <v>28618985.460069444</v>
      </c>
      <c r="P628" s="197"/>
      <c r="Q628" s="197"/>
    </row>
    <row r="629" spans="1:17" ht="15.95" customHeight="1" x14ac:dyDescent="0.25">
      <c r="A629" s="121"/>
      <c r="B629" s="23"/>
      <c r="C629" s="59" t="s">
        <v>10</v>
      </c>
      <c r="D629" s="65">
        <v>43664</v>
      </c>
      <c r="E629" s="36"/>
      <c r="F629" s="483"/>
      <c r="G629" s="484"/>
      <c r="H629" s="51">
        <f>IF(DAY(H628)=DAY($H$621),IF(WEEKDAY(EDATE(H628,$D$633),3)&lt;5,EDATE(H628,$D$633),WORKDAY(EDATE(H628,$D$633),1)),IF(WEEKDAY(EDATE($H$621,$D$633*COUNT($H$621:H628)),3)&lt;5,EDATE($H$621,$D$633*COUNT($H$621:H628)),WORKDAY(EDATE($H$621,$D$633*COUNT($H$621:H628)),1)))</f>
        <v>44221</v>
      </c>
      <c r="I629" s="71" t="s">
        <v>13</v>
      </c>
      <c r="J629" s="52">
        <f>(IF(AND($D$636&lt;&gt;"",$D$636&gt;(AVERAGE(VLOOKUP(WORKDAY.INTL(H629,-7,1,),'Tasas-TC'!A:B,2,FALSE),VLOOKUP(WORKDAY.INTL(H628,-7,1,),'Tasas-TC'!A:B,2,FALSE))+$D$635)),$D$636,IF(AND($D$637&lt;&gt;"",$D$637&lt;(AVERAGE(VLOOKUP(WORKDAY.INTL(H629,-7,1,),'Tasas-TC'!A:B,2,FALSE),VLOOKUP(WORKDAY.INTL(H628,-7,1,),'Tasas-TC'!A:B,2,FALSE))+$D$635)),$D$637,(AVERAGE(VLOOKUP(WORKDAY.INTL(H629,-7,1,),'Tasas-TC'!A:B,2,FALSE),VLOOKUP(WORKDAY.INTL(H628,-7,1,),'Tasas-TC'!A:B,2,FALSE))+$D$635)))/360)*(H629-H628)*L628</f>
        <v>233955.55555555556</v>
      </c>
      <c r="K629" s="52">
        <f t="shared" si="57"/>
        <v>440000</v>
      </c>
      <c r="L629" s="53">
        <f t="shared" si="58"/>
        <v>1800000</v>
      </c>
      <c r="M629" s="94">
        <f t="shared" si="59"/>
        <v>673955.5555555555</v>
      </c>
      <c r="N629" s="25"/>
      <c r="O629" s="197"/>
      <c r="P629" s="197"/>
      <c r="Q629" s="197"/>
    </row>
    <row r="630" spans="1:17" ht="15.95" customHeight="1" x14ac:dyDescent="0.25">
      <c r="A630" s="121"/>
      <c r="B630" s="23"/>
      <c r="C630" s="59" t="s">
        <v>11</v>
      </c>
      <c r="D630" s="65">
        <v>43488</v>
      </c>
      <c r="E630" s="36"/>
      <c r="F630" s="483"/>
      <c r="G630" s="484"/>
      <c r="H630" s="51">
        <f>IF(DAY(H629)=DAY($H$621),IF(WEEKDAY(EDATE(H629,$D$633),3)&lt;5,EDATE(H629,$D$633),WORKDAY(EDATE(H629,$D$633),1)),IF(WEEKDAY(EDATE($H$621,$D$633*COUNT($H$621:H629)),3)&lt;5,EDATE($H$621,$D$633*COUNT($H$621:H629)),WORKDAY(EDATE($H$621,$D$633*COUNT($H$621:H629)),1)))</f>
        <v>44309</v>
      </c>
      <c r="I630" s="71" t="s">
        <v>13</v>
      </c>
      <c r="J630" s="52">
        <f>(IF(AND($D$636&lt;&gt;"",$D$636&gt;(AVERAGE(VLOOKUP(WORKDAY.INTL(H630,-7,1,),'Tasas-TC'!A:B,2,FALSE),VLOOKUP(WORKDAY.INTL(H629,-7,1,),'Tasas-TC'!A:B,2,FALSE))+$D$635)),$D$636,IF(AND($D$637&lt;&gt;"",$D$637&lt;(AVERAGE(VLOOKUP(WORKDAY.INTL(H630,-7,1,),'Tasas-TC'!A:B,2,FALSE),VLOOKUP(WORKDAY.INTL(H629,-7,1,),'Tasas-TC'!A:B,2,FALSE))+$D$635)),$D$637,(AVERAGE(VLOOKUP(WORKDAY.INTL(H630,-7,1,),'Tasas-TC'!A:B,2,FALSE),VLOOKUP(WORKDAY.INTL(H629,-7,1,),'Tasas-TC'!A:B,2,FALSE))+$D$635)))/360)*(H630-H629)*L629</f>
        <v>185625.00000000003</v>
      </c>
      <c r="K630" s="52">
        <f t="shared" si="57"/>
        <v>440000</v>
      </c>
      <c r="L630" s="53">
        <f t="shared" si="58"/>
        <v>1360000</v>
      </c>
      <c r="M630" s="94">
        <f t="shared" si="59"/>
        <v>625625</v>
      </c>
      <c r="N630" s="25"/>
      <c r="O630" s="197"/>
      <c r="P630" s="197"/>
      <c r="Q630" s="197"/>
    </row>
    <row r="631" spans="1:17" ht="15.95" customHeight="1" x14ac:dyDescent="0.25">
      <c r="A631" s="121"/>
      <c r="B631" s="23"/>
      <c r="C631" s="59" t="s">
        <v>12</v>
      </c>
      <c r="D631" s="65">
        <v>44584</v>
      </c>
      <c r="E631" s="36"/>
      <c r="F631" s="483"/>
      <c r="G631" s="484"/>
      <c r="H631" s="51">
        <f>IF(DAY(H630)=DAY($H$621),IF(WEEKDAY(EDATE(H630,$D$633),3)&lt;5,EDATE(H630,$D$633),WORKDAY(EDATE(H630,$D$633),1)),IF(WEEKDAY(EDATE($H$621,$D$633*COUNT($H$621:H630)),3)&lt;5,EDATE($H$621,$D$633*COUNT($H$621:H630)),WORKDAY(EDATE($H$621,$D$633*COUNT($H$621:H630)),1)))</f>
        <v>44400</v>
      </c>
      <c r="I631" s="71" t="s">
        <v>13</v>
      </c>
      <c r="J631" s="52">
        <f>(IF(AND($D$636&lt;&gt;"",$D$636&gt;(AVERAGE(VLOOKUP(WORKDAY.INTL(H631,-7,1,),'Tasas-TC'!A:B,2,FALSE),VLOOKUP(WORKDAY.INTL(H630,-7,1,),'Tasas-TC'!A:B,2,FALSE))+$D$635)),$D$636,IF(AND($D$637&lt;&gt;"",$D$637&lt;(AVERAGE(VLOOKUP(WORKDAY.INTL(H631,-7,1,),'Tasas-TC'!A:B,2,FALSE),VLOOKUP(WORKDAY.INTL(H630,-7,1,),'Tasas-TC'!A:B,2,FALSE))+$D$635)),$D$637,(AVERAGE(VLOOKUP(WORKDAY.INTL(H631,-7,1,),'Tasas-TC'!A:B,2,FALSE),VLOOKUP(WORKDAY.INTL(H630,-7,1,),'Tasas-TC'!A:B,2,FALSE))+$D$635)))/360)*(H631-H630)*L630</f>
        <v>144601.52777777778</v>
      </c>
      <c r="K631" s="52">
        <f t="shared" si="57"/>
        <v>440000</v>
      </c>
      <c r="L631" s="53">
        <f t="shared" si="58"/>
        <v>920000</v>
      </c>
      <c r="M631" s="94">
        <f t="shared" si="59"/>
        <v>584601.52777777775</v>
      </c>
      <c r="N631" s="25"/>
      <c r="O631" s="197"/>
      <c r="P631" s="197"/>
      <c r="Q631" s="197"/>
    </row>
    <row r="632" spans="1:17" ht="15.95" customHeight="1" x14ac:dyDescent="0.25">
      <c r="A632" s="121"/>
      <c r="B632" s="23"/>
      <c r="C632" s="59" t="s">
        <v>27</v>
      </c>
      <c r="D632" s="66">
        <v>4000000</v>
      </c>
      <c r="E632" s="41"/>
      <c r="F632" s="480"/>
      <c r="G632" s="484"/>
      <c r="H632" s="51">
        <f>IF(DAY(H631)=DAY($H$621),IF(WEEKDAY(EDATE(H631,$D$633),3)&lt;5,EDATE(H631,$D$633),WORKDAY(EDATE(H631,$D$633),1)),IF(WEEKDAY(EDATE($H$621,$D$633*COUNT($H$621:H631)),3)&lt;5,EDATE($H$621,$D$633*COUNT($H$621:H631)),WORKDAY(EDATE($H$621,$D$633*COUNT($H$621:H631)),1)))</f>
        <v>44494</v>
      </c>
      <c r="I632" s="71" t="s">
        <v>13</v>
      </c>
      <c r="J632" s="52">
        <f>(IF(AND($D$636&lt;&gt;"",$D$636&gt;(AVERAGE(VLOOKUP(WORKDAY.INTL(H632,-7,1,),'Tasas-TC'!A:B,2,FALSE),VLOOKUP(WORKDAY.INTL(H631,-7,1,),'Tasas-TC'!A:B,2,FALSE))+$D$635)),$D$636,IF(AND($D$637&lt;&gt;"",$D$637&lt;(AVERAGE(VLOOKUP(WORKDAY.INTL(H632,-7,1,),'Tasas-TC'!A:B,2,FALSE),VLOOKUP(WORKDAY.INTL(H631,-7,1,),'Tasas-TC'!A:B,2,FALSE))+$D$635)),$D$637,(AVERAGE(VLOOKUP(WORKDAY.INTL(H632,-7,1,),'Tasas-TC'!A:B,2,FALSE),VLOOKUP(WORKDAY.INTL(H631,-7,1,),'Tasas-TC'!A:B,2,FALSE))+$D$635)))/360)*(H632-H631)*L631</f>
        <v>101118.54166666667</v>
      </c>
      <c r="K632" s="52">
        <f t="shared" si="57"/>
        <v>440000</v>
      </c>
      <c r="L632" s="53">
        <f t="shared" si="58"/>
        <v>480000</v>
      </c>
      <c r="M632" s="94">
        <f t="shared" si="59"/>
        <v>541118.54166666663</v>
      </c>
      <c r="N632" s="25"/>
      <c r="O632" s="197"/>
      <c r="P632" s="197"/>
      <c r="Q632" s="197"/>
    </row>
    <row r="633" spans="1:17" ht="15.95" customHeight="1" x14ac:dyDescent="0.25">
      <c r="A633" s="121"/>
      <c r="B633" s="23"/>
      <c r="C633" s="59" t="s">
        <v>26</v>
      </c>
      <c r="D633" s="66">
        <v>3</v>
      </c>
      <c r="E633" s="36"/>
      <c r="F633" s="480"/>
      <c r="G633" s="484"/>
      <c r="H633" s="51">
        <f>IF(DAY(H632)=DAY($H$621),IF(WEEKDAY(EDATE(H632,$D$633),3)&lt;5,EDATE(H632,$D$633),WORKDAY(EDATE(H632,$D$633),1)),IF(WEEKDAY(EDATE($H$621,$D$633*COUNT($H$621:H632)),3)&lt;5,EDATE($H$621,$D$633*COUNT($H$621:H632)),WORKDAY(EDATE($H$621,$D$633*COUNT($H$621:H632)),1)))</f>
        <v>44585</v>
      </c>
      <c r="I633" s="71" t="s">
        <v>13</v>
      </c>
      <c r="J633" s="52">
        <f>(IF(AND($D$636&lt;&gt;"",$D$636&gt;(AVERAGE(VLOOKUP(WORKDAY.INTL(H633,-7,1,),'Tasas-TC'!A:B,2,FALSE),VLOOKUP(WORKDAY.INTL(H632,-7,1,),'Tasas-TC'!A:B,2,FALSE))+$D$635)),$D$636,IF(AND($D$637&lt;&gt;"",$D$637&lt;(AVERAGE(VLOOKUP(WORKDAY.INTL(H633,-7,1,),'Tasas-TC'!A:B,2,FALSE),VLOOKUP(WORKDAY.INTL(H632,-7,1,),'Tasas-TC'!A:B,2,FALSE))+$D$635)),$D$637,(AVERAGE(VLOOKUP(WORKDAY.INTL(H633,-7,1,),'Tasas-TC'!A:B,2,FALSE),VLOOKUP(WORKDAY.INTL(H632,-7,1,),'Tasas-TC'!A:B,2,FALSE))+$D$635)))/360)*(H633-H632)*L632</f>
        <v>53083.333333333343</v>
      </c>
      <c r="K633" s="52">
        <f>+IF(OR(I633="A + C",I633="A"),$D$632*$D$639,0)</f>
        <v>480000</v>
      </c>
      <c r="L633" s="53">
        <f t="shared" si="58"/>
        <v>0</v>
      </c>
      <c r="M633" s="94">
        <f t="shared" si="59"/>
        <v>533083.33333333337</v>
      </c>
      <c r="N633" s="25"/>
      <c r="O633" s="197"/>
      <c r="P633" s="197"/>
      <c r="Q633" s="197"/>
    </row>
    <row r="634" spans="1:17" ht="15.95" customHeight="1" x14ac:dyDescent="0.25">
      <c r="A634" s="121"/>
      <c r="B634" s="23"/>
      <c r="C634" s="59" t="s">
        <v>19</v>
      </c>
      <c r="D634" s="67" t="s">
        <v>20</v>
      </c>
      <c r="E634" s="43"/>
      <c r="F634" s="480"/>
      <c r="G634" s="484"/>
      <c r="H634" s="54"/>
      <c r="I634" s="61"/>
      <c r="J634" s="55"/>
      <c r="K634" s="56"/>
      <c r="L634" s="57"/>
      <c r="M634" s="109"/>
      <c r="N634" s="25"/>
      <c r="O634" s="197"/>
      <c r="P634" s="197"/>
      <c r="Q634" s="197"/>
    </row>
    <row r="635" spans="1:17" ht="15.95" customHeight="1" x14ac:dyDescent="0.25">
      <c r="A635" s="121"/>
      <c r="B635" s="23"/>
      <c r="C635" s="59" t="s">
        <v>14</v>
      </c>
      <c r="D635" s="68">
        <v>0.08</v>
      </c>
      <c r="E635" s="43"/>
      <c r="F635" s="480"/>
      <c r="G635" s="484"/>
      <c r="H635" s="35"/>
      <c r="I635" s="35"/>
      <c r="J635" s="35"/>
      <c r="K635" s="109"/>
      <c r="L635" s="109"/>
      <c r="M635" s="109"/>
      <c r="N635" s="25"/>
      <c r="O635" s="197"/>
      <c r="P635" s="197"/>
      <c r="Q635" s="197"/>
    </row>
    <row r="636" spans="1:17" ht="15.95" customHeight="1" x14ac:dyDescent="0.25">
      <c r="A636" s="121"/>
      <c r="B636" s="23"/>
      <c r="C636" s="59" t="s">
        <v>31</v>
      </c>
      <c r="D636" s="68"/>
      <c r="E636" s="43"/>
      <c r="F636" s="480"/>
      <c r="G636" s="484"/>
      <c r="H636" s="656" t="s">
        <v>43</v>
      </c>
      <c r="I636" s="656"/>
      <c r="J636" s="92">
        <v>0</v>
      </c>
      <c r="K636" s="92"/>
      <c r="L636" s="24"/>
      <c r="M636" s="24"/>
      <c r="N636" s="25"/>
      <c r="O636" s="197"/>
      <c r="P636" s="197"/>
      <c r="Q636" s="197"/>
    </row>
    <row r="637" spans="1:17" ht="15.95" customHeight="1" x14ac:dyDescent="0.25">
      <c r="A637" s="121"/>
      <c r="B637" s="23"/>
      <c r="C637" s="59" t="s">
        <v>32</v>
      </c>
      <c r="D637" s="68"/>
      <c r="E637" s="44"/>
      <c r="F637" s="480"/>
      <c r="G637" s="484"/>
      <c r="H637" s="657"/>
      <c r="I637" s="657"/>
      <c r="J637" s="392"/>
      <c r="K637" s="24"/>
      <c r="L637" s="33"/>
      <c r="M637" s="33"/>
      <c r="N637" s="25"/>
      <c r="O637" s="197"/>
      <c r="P637" s="197"/>
      <c r="Q637" s="197"/>
    </row>
    <row r="638" spans="1:17" ht="15.95" customHeight="1" x14ac:dyDescent="0.25">
      <c r="A638" s="121"/>
      <c r="B638" s="23"/>
      <c r="C638" s="59" t="s">
        <v>78</v>
      </c>
      <c r="D638" s="68">
        <v>0.11</v>
      </c>
      <c r="E638" s="24"/>
      <c r="F638" s="480"/>
      <c r="G638" s="484"/>
      <c r="H638" s="24"/>
      <c r="I638" s="24"/>
      <c r="J638" s="24"/>
      <c r="K638" s="24"/>
      <c r="L638" s="24"/>
      <c r="M638" s="24"/>
      <c r="N638" s="25"/>
      <c r="O638" s="197"/>
      <c r="P638" s="197"/>
      <c r="Q638" s="197"/>
    </row>
    <row r="639" spans="1:17" ht="15.95" customHeight="1" x14ac:dyDescent="0.25">
      <c r="A639" s="121"/>
      <c r="B639" s="23"/>
      <c r="C639" s="59" t="s">
        <v>78</v>
      </c>
      <c r="D639" s="68">
        <v>0.12</v>
      </c>
      <c r="E639" s="24"/>
      <c r="F639" s="480"/>
      <c r="G639" s="485"/>
      <c r="H639" s="638" t="s">
        <v>44</v>
      </c>
      <c r="I639" s="639"/>
      <c r="J639" s="639"/>
      <c r="K639" s="639"/>
      <c r="L639" s="639"/>
      <c r="M639" s="640"/>
      <c r="N639" s="25"/>
      <c r="O639" s="197"/>
      <c r="P639" s="197"/>
      <c r="Q639" s="197"/>
    </row>
    <row r="640" spans="1:17" ht="15.95" customHeight="1" x14ac:dyDescent="0.25">
      <c r="A640" s="121"/>
      <c r="B640" s="23"/>
      <c r="C640" s="60"/>
      <c r="D640" s="119"/>
      <c r="E640" s="24"/>
      <c r="F640" s="480"/>
      <c r="G640" s="485"/>
      <c r="H640" s="23"/>
      <c r="I640" s="24"/>
      <c r="J640" s="24"/>
      <c r="K640" s="24"/>
      <c r="L640" s="24"/>
      <c r="M640" s="25"/>
      <c r="N640" s="25"/>
      <c r="O640" s="197"/>
      <c r="P640" s="197"/>
      <c r="Q640" s="197"/>
    </row>
    <row r="641" spans="1:17" ht="15.95" customHeight="1" x14ac:dyDescent="0.25">
      <c r="A641" s="121"/>
      <c r="B641" s="23"/>
      <c r="C641" s="24"/>
      <c r="D641" s="24"/>
      <c r="E641" s="24"/>
      <c r="F641" s="480"/>
      <c r="G641" s="485"/>
      <c r="H641" s="23"/>
      <c r="I641" s="24"/>
      <c r="J641" s="24"/>
      <c r="K641" s="24"/>
      <c r="L641" s="24"/>
      <c r="M641" s="25"/>
      <c r="N641" s="25"/>
      <c r="O641" s="197"/>
      <c r="P641" s="197"/>
      <c r="Q641" s="197"/>
    </row>
    <row r="642" spans="1:17" ht="15.95" customHeight="1" x14ac:dyDescent="0.25">
      <c r="A642" s="121"/>
      <c r="B642" s="23"/>
      <c r="C642" s="24"/>
      <c r="D642" s="24"/>
      <c r="E642" s="24"/>
      <c r="F642" s="480"/>
      <c r="G642" s="485"/>
      <c r="H642" s="96"/>
      <c r="I642" s="35"/>
      <c r="J642" s="24"/>
      <c r="K642" s="24"/>
      <c r="L642" s="24"/>
      <c r="M642" s="25"/>
      <c r="N642" s="25"/>
      <c r="O642" s="197"/>
      <c r="P642" s="197"/>
      <c r="Q642" s="197"/>
    </row>
    <row r="643" spans="1:17" ht="15.95" customHeight="1" x14ac:dyDescent="0.25">
      <c r="A643" s="121"/>
      <c r="B643" s="23"/>
      <c r="C643" s="24"/>
      <c r="D643" s="24"/>
      <c r="E643" s="24"/>
      <c r="F643" s="480"/>
      <c r="G643" s="485"/>
      <c r="H643" s="23"/>
      <c r="I643" s="24"/>
      <c r="J643" s="24"/>
      <c r="K643" s="24"/>
      <c r="L643" s="24"/>
      <c r="M643" s="25"/>
      <c r="N643" s="25"/>
      <c r="O643" s="197"/>
      <c r="P643" s="197"/>
      <c r="Q643" s="197"/>
    </row>
    <row r="644" spans="1:17" ht="15.95" customHeight="1" x14ac:dyDescent="0.25">
      <c r="A644" s="121"/>
      <c r="B644" s="23"/>
      <c r="C644" s="24"/>
      <c r="D644" s="24"/>
      <c r="E644" s="24"/>
      <c r="F644" s="480"/>
      <c r="G644" s="485"/>
      <c r="H644" s="23"/>
      <c r="I644" s="24"/>
      <c r="J644" s="24"/>
      <c r="K644" s="24"/>
      <c r="L644" s="24"/>
      <c r="M644" s="25"/>
      <c r="N644" s="25"/>
      <c r="O644" s="197"/>
      <c r="P644" s="197"/>
      <c r="Q644" s="197"/>
    </row>
    <row r="645" spans="1:17" ht="15.95" customHeight="1" x14ac:dyDescent="0.25">
      <c r="A645" s="121"/>
      <c r="B645" s="23"/>
      <c r="C645" s="24"/>
      <c r="D645" s="24"/>
      <c r="E645" s="24"/>
      <c r="F645" s="480"/>
      <c r="G645" s="485"/>
      <c r="H645" s="23"/>
      <c r="I645" s="24"/>
      <c r="J645" s="24"/>
      <c r="K645" s="24"/>
      <c r="L645" s="24"/>
      <c r="M645" s="25"/>
      <c r="N645" s="25"/>
      <c r="O645" s="197"/>
      <c r="P645" s="197"/>
      <c r="Q645" s="197"/>
    </row>
    <row r="646" spans="1:17" ht="15.95" customHeight="1" x14ac:dyDescent="0.25">
      <c r="A646" s="121"/>
      <c r="B646" s="23"/>
      <c r="C646" s="24"/>
      <c r="D646" s="24"/>
      <c r="E646" s="24"/>
      <c r="F646" s="480"/>
      <c r="G646" s="485"/>
      <c r="H646" s="23"/>
      <c r="I646" s="24"/>
      <c r="J646" s="24"/>
      <c r="K646" s="24"/>
      <c r="L646" s="24"/>
      <c r="M646" s="25"/>
      <c r="N646" s="25"/>
      <c r="O646" s="197"/>
      <c r="P646" s="197"/>
      <c r="Q646" s="197"/>
    </row>
    <row r="647" spans="1:17" ht="15.95" customHeight="1" x14ac:dyDescent="0.25">
      <c r="A647" s="121"/>
      <c r="B647" s="23"/>
      <c r="C647" s="24"/>
      <c r="D647" s="24"/>
      <c r="E647" s="24"/>
      <c r="F647" s="480"/>
      <c r="G647" s="485"/>
      <c r="H647" s="23"/>
      <c r="I647" s="24"/>
      <c r="J647" s="24"/>
      <c r="K647" s="24"/>
      <c r="L647" s="24"/>
      <c r="M647" s="25"/>
      <c r="N647" s="25"/>
      <c r="O647" s="197"/>
      <c r="P647" s="197"/>
      <c r="Q647" s="197"/>
    </row>
    <row r="648" spans="1:17" ht="15.95" customHeight="1" x14ac:dyDescent="0.25">
      <c r="A648" s="121"/>
      <c r="B648" s="23"/>
      <c r="C648" s="24"/>
      <c r="D648" s="24"/>
      <c r="E648" s="24"/>
      <c r="F648" s="480"/>
      <c r="G648" s="485"/>
      <c r="H648" s="23"/>
      <c r="I648" s="24"/>
      <c r="J648" s="24"/>
      <c r="K648" s="24"/>
      <c r="L648" s="24"/>
      <c r="M648" s="25"/>
      <c r="N648" s="25"/>
      <c r="O648" s="197"/>
      <c r="P648" s="197"/>
      <c r="Q648" s="197"/>
    </row>
    <row r="649" spans="1:17" ht="15.95" customHeight="1" x14ac:dyDescent="0.25">
      <c r="A649" s="121"/>
      <c r="B649" s="23"/>
      <c r="C649" s="24"/>
      <c r="D649" s="24"/>
      <c r="E649" s="24"/>
      <c r="F649" s="480"/>
      <c r="G649" s="485"/>
      <c r="H649" s="23"/>
      <c r="I649" s="24"/>
      <c r="J649" s="24"/>
      <c r="K649" s="24"/>
      <c r="L649" s="24"/>
      <c r="M649" s="25"/>
      <c r="N649" s="25"/>
      <c r="O649" s="197"/>
      <c r="P649" s="197"/>
      <c r="Q649" s="197"/>
    </row>
    <row r="650" spans="1:17" ht="15.95" customHeight="1" x14ac:dyDescent="0.25">
      <c r="A650" s="121"/>
      <c r="B650" s="23"/>
      <c r="C650" s="24"/>
      <c r="D650" s="24"/>
      <c r="E650" s="24"/>
      <c r="F650" s="480"/>
      <c r="G650" s="485"/>
      <c r="H650" s="23"/>
      <c r="I650" s="24"/>
      <c r="J650" s="24"/>
      <c r="K650" s="24"/>
      <c r="L650" s="24"/>
      <c r="M650" s="25"/>
      <c r="N650" s="25"/>
      <c r="O650" s="197"/>
      <c r="P650" s="197"/>
      <c r="Q650" s="197"/>
    </row>
    <row r="651" spans="1:17" ht="15.95" customHeight="1" x14ac:dyDescent="0.25">
      <c r="A651" s="121"/>
      <c r="B651" s="23"/>
      <c r="C651" s="24"/>
      <c r="D651" s="24"/>
      <c r="E651" s="24"/>
      <c r="F651" s="480"/>
      <c r="G651" s="485"/>
      <c r="H651" s="23"/>
      <c r="I651" s="24"/>
      <c r="J651" s="24"/>
      <c r="K651" s="24"/>
      <c r="L651" s="24"/>
      <c r="M651" s="25"/>
      <c r="N651" s="25"/>
      <c r="O651" s="197"/>
      <c r="P651" s="197"/>
      <c r="Q651" s="197"/>
    </row>
    <row r="652" spans="1:17" ht="15.95" customHeight="1" x14ac:dyDescent="0.25">
      <c r="A652" s="121"/>
      <c r="B652" s="23"/>
      <c r="C652" s="24"/>
      <c r="D652" s="24"/>
      <c r="E652" s="24"/>
      <c r="F652" s="480"/>
      <c r="G652" s="485"/>
      <c r="H652" s="26"/>
      <c r="I652" s="27"/>
      <c r="J652" s="27"/>
      <c r="K652" s="27"/>
      <c r="L652" s="27"/>
      <c r="M652" s="28"/>
      <c r="N652" s="25"/>
      <c r="O652" s="194" t="str">
        <f>+D735</f>
        <v>ON Pyme CNV Garantizada</v>
      </c>
      <c r="P652" s="197"/>
      <c r="Q652" s="197"/>
    </row>
    <row r="653" spans="1:17" ht="15.95" customHeight="1" x14ac:dyDescent="0.25">
      <c r="A653" s="121"/>
      <c r="B653" s="26"/>
      <c r="C653" s="27"/>
      <c r="D653" s="27"/>
      <c r="E653" s="27"/>
      <c r="F653" s="481"/>
      <c r="G653" s="486"/>
      <c r="H653" s="27"/>
      <c r="I653" s="27"/>
      <c r="J653" s="27"/>
      <c r="K653" s="27"/>
      <c r="L653" s="27"/>
      <c r="M653" s="27"/>
      <c r="N653" s="28"/>
      <c r="O653" s="197"/>
      <c r="P653" s="197"/>
      <c r="Q653" s="197"/>
    </row>
    <row r="654" spans="1:17" ht="15.95" customHeight="1" x14ac:dyDescent="0.25">
      <c r="A654" s="121"/>
      <c r="B654" s="23"/>
      <c r="C654" s="24"/>
      <c r="D654" s="24"/>
      <c r="E654" s="24"/>
      <c r="F654" s="480"/>
      <c r="G654" s="480"/>
      <c r="H654" s="24"/>
      <c r="I654" s="24"/>
      <c r="J654" s="24"/>
      <c r="K654" s="24"/>
      <c r="L654" s="24"/>
      <c r="M654" s="24"/>
      <c r="N654" s="25"/>
      <c r="O654" s="197"/>
      <c r="P654" s="29"/>
    </row>
    <row r="655" spans="1:17" ht="15.95" customHeight="1" x14ac:dyDescent="0.25">
      <c r="A655" s="121"/>
      <c r="B655" s="661" t="s">
        <v>358</v>
      </c>
      <c r="C655" s="662"/>
      <c r="D655" s="662"/>
      <c r="E655" s="662"/>
      <c r="F655" s="662"/>
      <c r="G655" s="662"/>
      <c r="H655" s="662"/>
      <c r="I655" s="662"/>
      <c r="J655" s="662"/>
      <c r="K655" s="662"/>
      <c r="L655" s="662"/>
      <c r="M655" s="662"/>
      <c r="N655" s="663"/>
      <c r="O655" s="197"/>
      <c r="P655" s="29"/>
    </row>
    <row r="656" spans="1:17" ht="15.95" customHeight="1" x14ac:dyDescent="0.25">
      <c r="A656" s="121"/>
      <c r="B656" s="23"/>
      <c r="C656" s="24"/>
      <c r="D656" s="24"/>
      <c r="E656" s="24"/>
      <c r="F656" s="483"/>
      <c r="G656" s="484"/>
      <c r="H656" s="31"/>
      <c r="I656" s="31"/>
      <c r="J656" s="24"/>
      <c r="K656" s="24"/>
      <c r="L656" s="24"/>
      <c r="M656" s="24"/>
      <c r="N656" s="25"/>
      <c r="O656" s="194" t="str">
        <f>+IF(J733="vencida",IF(D735='Reporte - Oscuro'!$C$40,'Reporte - Oscuro'!$C$40&amp;" vencida",IF(D735='Reporte - Oscuro'!$C$41,'Reporte - Oscuro'!$C$41&amp;" vencida",IF(D735='Reporte - Oscuro'!$C$42,'Reporte - Oscuro'!$C$42&amp;" vencida",'Reporte - Oscuro'!$C$43&amp;" vencida"))),D735&amp;" vigente")</f>
        <v>ON Pyme CNV Garantizada vencida</v>
      </c>
      <c r="P656" s="29"/>
    </row>
    <row r="657" spans="1:16" ht="15.95" customHeight="1" x14ac:dyDescent="0.25">
      <c r="A657" s="121"/>
      <c r="B657" s="23"/>
      <c r="C657" s="638" t="s">
        <v>37</v>
      </c>
      <c r="D657" s="639"/>
      <c r="E657" s="640"/>
      <c r="F657" s="483"/>
      <c r="G657" s="484"/>
      <c r="H657" s="641" t="s">
        <v>28</v>
      </c>
      <c r="I657" s="642"/>
      <c r="J657" s="39">
        <f>+$D$675-SUMIF($H$664:$H$670,"&lt;"&amp;$M$4,$K$664:$K$670)</f>
        <v>0</v>
      </c>
      <c r="K657" s="24"/>
      <c r="L657" s="24"/>
      <c r="M657" s="24"/>
      <c r="N657" s="25"/>
      <c r="O657" s="197"/>
    </row>
    <row r="658" spans="1:16" ht="15.95" customHeight="1" x14ac:dyDescent="0.25">
      <c r="A658" s="121"/>
      <c r="B658" s="23"/>
      <c r="C658" s="58"/>
      <c r="D658" s="664"/>
      <c r="E658" s="665"/>
      <c r="F658" s="483"/>
      <c r="G658" s="484"/>
      <c r="H658" s="645" t="s">
        <v>29</v>
      </c>
      <c r="I658" s="646"/>
      <c r="J658" s="40">
        <f>+$D$674</f>
        <v>45678</v>
      </c>
      <c r="K658" s="24"/>
      <c r="L658" s="24"/>
      <c r="M658" s="24"/>
      <c r="N658" s="25"/>
      <c r="O658" s="197"/>
      <c r="P658" s="37"/>
    </row>
    <row r="659" spans="1:16" ht="15.95" customHeight="1" x14ac:dyDescent="0.25">
      <c r="A659" s="121"/>
      <c r="B659" s="23"/>
      <c r="C659" s="59" t="s">
        <v>25</v>
      </c>
      <c r="D659" s="658"/>
      <c r="E659" s="659"/>
      <c r="F659" s="483"/>
      <c r="G659" s="484"/>
      <c r="H659" s="649" t="s">
        <v>30</v>
      </c>
      <c r="I659" s="650"/>
      <c r="J659" s="42" t="str">
        <f t="array" ref="J659">+IF(H670&gt;=$M$4,MIN(IF($H$664:$H$670&gt;=$M$4,$H$664:$H$670,"")),"vencida")</f>
        <v>vencida</v>
      </c>
      <c r="K659" s="24"/>
      <c r="L659" s="24"/>
      <c r="M659" s="24"/>
      <c r="N659" s="25"/>
      <c r="O659" s="197"/>
    </row>
    <row r="660" spans="1:16" ht="15.95" customHeight="1" x14ac:dyDescent="0.25">
      <c r="A660" s="121"/>
      <c r="B660" s="23"/>
      <c r="C660" s="59" t="s">
        <v>6</v>
      </c>
      <c r="D660" s="658" t="s">
        <v>359</v>
      </c>
      <c r="E660" s="659"/>
      <c r="F660" s="483"/>
      <c r="G660" s="484"/>
      <c r="H660" s="24"/>
      <c r="I660" s="24"/>
      <c r="J660" s="24"/>
      <c r="K660" s="24"/>
      <c r="L660" s="24"/>
      <c r="M660" s="24"/>
      <c r="N660" s="25"/>
      <c r="O660" s="197">
        <f>+M738</f>
        <v>-15000000</v>
      </c>
    </row>
    <row r="661" spans="1:16" ht="15.95" customHeight="1" x14ac:dyDescent="0.25">
      <c r="A661" s="121"/>
      <c r="B661" s="23"/>
      <c r="C661" s="59" t="s">
        <v>8</v>
      </c>
      <c r="D661" s="658" t="s">
        <v>17</v>
      </c>
      <c r="E661" s="659"/>
      <c r="F661" s="483"/>
      <c r="G661" s="484"/>
      <c r="H661" s="677" t="s">
        <v>41</v>
      </c>
      <c r="I661" s="678"/>
      <c r="J661" s="678"/>
      <c r="K661" s="678"/>
      <c r="L661" s="679"/>
      <c r="M661" s="24"/>
      <c r="N661" s="25"/>
      <c r="O661" s="197">
        <f>+O660+M739</f>
        <v>-6812916.666666667</v>
      </c>
    </row>
    <row r="662" spans="1:16" ht="15.95" customHeight="1" x14ac:dyDescent="0.25">
      <c r="A662" s="121"/>
      <c r="B662" s="23"/>
      <c r="C662" s="59" t="s">
        <v>33</v>
      </c>
      <c r="D662" s="73" t="s">
        <v>309</v>
      </c>
      <c r="E662" s="273">
        <v>1</v>
      </c>
      <c r="F662" s="483">
        <f>+E662*J657</f>
        <v>0</v>
      </c>
      <c r="G662" s="484"/>
      <c r="H662" s="458" t="s">
        <v>0</v>
      </c>
      <c r="I662" s="459" t="s">
        <v>2</v>
      </c>
      <c r="J662" s="459" t="s">
        <v>3</v>
      </c>
      <c r="K662" s="459" t="s">
        <v>4</v>
      </c>
      <c r="L662" s="460" t="s">
        <v>5</v>
      </c>
      <c r="M662" s="456" t="s">
        <v>44</v>
      </c>
      <c r="N662" s="25"/>
      <c r="O662" s="197">
        <f>+O661+M740</f>
        <v>-688385.41666666698</v>
      </c>
    </row>
    <row r="663" spans="1:16" ht="15.95" customHeight="1" x14ac:dyDescent="0.25">
      <c r="A663" s="121"/>
      <c r="B663" s="23"/>
      <c r="C663" s="59"/>
      <c r="D663" s="73"/>
      <c r="E663" s="273"/>
      <c r="F663" s="483">
        <f>+E663*$J$731</f>
        <v>0</v>
      </c>
      <c r="G663" s="484"/>
      <c r="H663" s="45"/>
      <c r="I663" s="46"/>
      <c r="J663" s="46"/>
      <c r="K663" s="46"/>
      <c r="L663" s="47"/>
      <c r="M663" s="24"/>
      <c r="N663" s="25"/>
      <c r="O663" s="197">
        <f>+O662+M741</f>
        <v>4373059.895833333</v>
      </c>
    </row>
    <row r="664" spans="1:16" ht="15.95" customHeight="1" x14ac:dyDescent="0.25">
      <c r="A664" s="121"/>
      <c r="B664" s="23"/>
      <c r="C664" s="59" t="s">
        <v>34</v>
      </c>
      <c r="D664" s="658" t="s">
        <v>48</v>
      </c>
      <c r="E664" s="659"/>
      <c r="F664" s="483"/>
      <c r="G664" s="484"/>
      <c r="H664" s="48">
        <f>+D673</f>
        <v>44582</v>
      </c>
      <c r="I664" s="70"/>
      <c r="J664" s="49"/>
      <c r="K664" s="49"/>
      <c r="L664" s="50">
        <f>+D675</f>
        <v>25000000</v>
      </c>
      <c r="M664" s="457">
        <f>-L664</f>
        <v>-25000000</v>
      </c>
      <c r="N664" s="25"/>
      <c r="O664" s="197">
        <f>+O663+M742</f>
        <v>8884625.651041666</v>
      </c>
    </row>
    <row r="665" spans="1:16" ht="15.95" customHeight="1" x14ac:dyDescent="0.25">
      <c r="A665" s="121"/>
      <c r="B665" s="23"/>
      <c r="C665" s="79" t="s">
        <v>38</v>
      </c>
      <c r="D665" s="76" t="s">
        <v>39</v>
      </c>
      <c r="E665" s="22">
        <v>38</v>
      </c>
      <c r="F665" s="483"/>
      <c r="G665" s="484"/>
      <c r="H665" s="51">
        <v>44763</v>
      </c>
      <c r="I665" s="71" t="s">
        <v>13</v>
      </c>
      <c r="J665" s="52">
        <f>(IF(AND($D$754&lt;&gt;"",$D$754&gt;(AVERAGE(VLOOKUP(WORKDAY.INTL(H665,-7,1,),'Tasas-TC'!A:B,2,FALSE),VLOOKUP(WORKDAY.INTL(H664,-7,1,),'Tasas-TC'!A:B,2,FALSE))+$D$753)),$D$754,IF(AND($D$755&lt;&gt;"",$D$755&lt;(AVERAGE(VLOOKUP(WORKDAY.INTL(H665,-7,1,),'Tasas-TC'!A:B,2,FALSE),VLOOKUP(WORKDAY.INTL(H664,-7,1,),'Tasas-TC'!A:B,2,FALSE))+$D$753)),$D$755,(AVERAGE(VLOOKUP(WORKDAY.INTL(H665,-7,1,),'Tasas-TC'!A:B,2,FALSE),VLOOKUP(WORKDAY.INTL(H664,-7,1,),'Tasas-TC'!A:B,2,FALSE))+$D$753)))/360)*(H665-H664)*L664</f>
        <v>6547894.9652777771</v>
      </c>
      <c r="K665" s="52">
        <f>+IF(OR(I665="A + C",I665="A"),$D$675*$D$681,0)</f>
        <v>3750000</v>
      </c>
      <c r="L665" s="53">
        <f>+L664-K665</f>
        <v>21250000</v>
      </c>
      <c r="M665" s="109">
        <f>+J665+K665</f>
        <v>10297894.965277776</v>
      </c>
      <c r="N665" s="25"/>
      <c r="O665" s="195"/>
    </row>
    <row r="666" spans="1:16" ht="15.95" customHeight="1" x14ac:dyDescent="0.25">
      <c r="A666" s="121"/>
      <c r="B666" s="23"/>
      <c r="C666" s="462"/>
      <c r="D666" s="277"/>
      <c r="E666" s="463"/>
      <c r="F666" s="483"/>
      <c r="G666" s="484"/>
      <c r="H666" s="51">
        <v>44947</v>
      </c>
      <c r="I666" s="71" t="s">
        <v>13</v>
      </c>
      <c r="J666" s="52">
        <f>(IF(AND($D$754&lt;&gt;"",$D$754&gt;(AVERAGE(VLOOKUP(WORKDAY.INTL(H666,-7,1,),'Tasas-TC'!A:B,2,FALSE),VLOOKUP(WORKDAY.INTL(H665,-7,1,),'Tasas-TC'!A:B,2,FALSE))+$D$753)),$D$754,IF(AND($D$755&lt;&gt;"",$D$755&lt;(AVERAGE(VLOOKUP(WORKDAY.INTL(H666,-7,1,),'Tasas-TC'!A:B,2,FALSE),VLOOKUP(WORKDAY.INTL(H665,-7,1,),'Tasas-TC'!A:B,2,FALSE))+$D$753)),$D$755,(AVERAGE(VLOOKUP(WORKDAY.INTL(H666,-7,1,),'Tasas-TC'!A:B,2,FALSE),VLOOKUP(WORKDAY.INTL(H665,-7,1,),'Tasas-TC'!A:B,2,FALSE))+$D$753)))/360)*(H666-H665)*L665</f>
        <v>7422890.6249999991</v>
      </c>
      <c r="K666" s="52">
        <f>+IF(OR(I666="A + C",I666="A"),$D$675*$D$681,0)</f>
        <v>3750000</v>
      </c>
      <c r="L666" s="53">
        <f>+L665-K666</f>
        <v>17500000</v>
      </c>
      <c r="M666" s="109">
        <f>+J666+K666</f>
        <v>11172890.625</v>
      </c>
      <c r="N666" s="25"/>
      <c r="O666" s="195"/>
    </row>
    <row r="667" spans="1:16" ht="15.95" customHeight="1" x14ac:dyDescent="0.25">
      <c r="A667" s="121"/>
      <c r="B667" s="23"/>
      <c r="C667" s="464"/>
      <c r="D667" s="465" t="str">
        <f>+B655</f>
        <v>Campo de Avanzada I</v>
      </c>
      <c r="E667" s="276"/>
      <c r="F667" s="483"/>
      <c r="G667" s="484">
        <f>+J657</f>
        <v>0</v>
      </c>
      <c r="H667" s="51">
        <v>45128</v>
      </c>
      <c r="I667" s="71" t="s">
        <v>13</v>
      </c>
      <c r="J667" s="52">
        <f>(IF(AND($D$754&lt;&gt;"",$D$754&gt;(AVERAGE(VLOOKUP(WORKDAY.INTL(H667,-7,1,),'Tasas-TC'!A:B,2,FALSE),VLOOKUP(WORKDAY.INTL(H666,-7,1,),'Tasas-TC'!A:B,2,FALSE))+$D$753)),$D$754,IF(AND($D$755&lt;&gt;"",$D$755&lt;(AVERAGE(VLOOKUP(WORKDAY.INTL(H667,-7,1,),'Tasas-TC'!A:B,2,FALSE),VLOOKUP(WORKDAY.INTL(H666,-7,1,),'Tasas-TC'!A:B,2,FALSE))+$D$753)),$D$755,(AVERAGE(VLOOKUP(WORKDAY.INTL(H667,-7,1,),'Tasas-TC'!A:B,2,FALSE),VLOOKUP(WORKDAY.INTL(H666,-7,1,),'Tasas-TC'!A:B,2,FALSE))+$D$753)))/360)*(H667-H666)*L666</f>
        <v>7874756.9444444431</v>
      </c>
      <c r="K667" s="52">
        <f>+IF(OR(I667="A + C",I667="A"),$D$675*$D$681,0)</f>
        <v>3750000</v>
      </c>
      <c r="L667" s="53">
        <f t="shared" ref="L667:L669" si="60">+L666-K667</f>
        <v>13750000</v>
      </c>
      <c r="M667" s="109">
        <f>+J667+K667</f>
        <v>11624756.944444444</v>
      </c>
      <c r="N667" s="25"/>
      <c r="O667" s="195"/>
    </row>
    <row r="668" spans="1:16" ht="15.95" customHeight="1" x14ac:dyDescent="0.25">
      <c r="A668" s="121"/>
      <c r="B668" s="23"/>
      <c r="C668" s="150"/>
      <c r="D668" s="150"/>
      <c r="E668" s="150"/>
      <c r="F668" s="483"/>
      <c r="G668" s="484"/>
      <c r="H668" s="51">
        <v>45312</v>
      </c>
      <c r="I668" s="71" t="s">
        <v>13</v>
      </c>
      <c r="J668" s="52">
        <f>(IF(AND($D$754&lt;&gt;"",$D$754&gt;(AVERAGE(VLOOKUP(WORKDAY.INTL(H668,-7,1,),'Tasas-TC'!A:B,2,FALSE),VLOOKUP(WORKDAY.INTL(H667,-7,1,),'Tasas-TC'!A:B,2,FALSE))+$D$753)),$D$754,IF(AND($D$755&lt;&gt;"",$D$755&lt;(AVERAGE(VLOOKUP(WORKDAY.INTL(H668,-7,1,),'Tasas-TC'!A:B,2,FALSE),VLOOKUP(WORKDAY.INTL(H667,-7,1,),'Tasas-TC'!A:B,2,FALSE))+$D$753)),$D$755,(AVERAGE(VLOOKUP(WORKDAY.INTL(H668,-7,1,),'Tasas-TC'!A:B,2,FALSE),VLOOKUP(WORKDAY.INTL(H667,-7,1,),'Tasas-TC'!A:B,2,FALSE))+$D$753)))/360)*(H668-H667)*L667</f>
        <v>7662473.9583333321</v>
      </c>
      <c r="K668" s="52">
        <f>+IF(OR(I668="A + C",I668="A"),$D$675*$D$681,0)</f>
        <v>3750000</v>
      </c>
      <c r="L668" s="53">
        <f t="shared" si="60"/>
        <v>10000000</v>
      </c>
      <c r="M668" s="109">
        <f t="shared" ref="M668:M670" si="61">+J668+K668</f>
        <v>11412473.958333332</v>
      </c>
      <c r="N668" s="25"/>
      <c r="O668" s="195"/>
    </row>
    <row r="669" spans="1:16" ht="15.95" customHeight="1" x14ac:dyDescent="0.25">
      <c r="A669" s="121"/>
      <c r="B669" s="23"/>
      <c r="C669" s="268" t="s">
        <v>36</v>
      </c>
      <c r="D669" s="269"/>
      <c r="E669" s="150"/>
      <c r="F669" s="483"/>
      <c r="G669" s="484"/>
      <c r="H669" s="51">
        <v>45494</v>
      </c>
      <c r="I669" s="71" t="s">
        <v>13</v>
      </c>
      <c r="J669" s="52">
        <f>(IF(AND($D$754&lt;&gt;"",$D$754&gt;(AVERAGE(VLOOKUP(WORKDAY.INTL(H669,-7,1,),'Tasas-TC'!A:B,2,FALSE),VLOOKUP(WORKDAY.INTL(H668,-7,1,),'Tasas-TC'!A:B,2,FALSE))+$D$753)),$D$754,IF(AND($D$755&lt;&gt;"",$D$755&lt;(AVERAGE(VLOOKUP(WORKDAY.INTL(H669,-7,1,),'Tasas-TC'!A:B,2,FALSE),VLOOKUP(WORKDAY.INTL(H668,-7,1,),'Tasas-TC'!A:B,2,FALSE))+$D$753)),$D$755,(AVERAGE(VLOOKUP(WORKDAY.INTL(H669,-7,1,),'Tasas-TC'!A:B,2,FALSE),VLOOKUP(WORKDAY.INTL(H668,-7,1,),'Tasas-TC'!A:B,2,FALSE))+$D$753)))/360)*(H669-H668)*L668</f>
        <v>4069722.2222222229</v>
      </c>
      <c r="K669" s="52">
        <f>+IF(OR(I669="A + C",I669="A"),$D$675*$D$681,0)</f>
        <v>3750000</v>
      </c>
      <c r="L669" s="53">
        <f t="shared" si="60"/>
        <v>6250000</v>
      </c>
      <c r="M669" s="109">
        <f t="shared" si="61"/>
        <v>7819722.2222222229</v>
      </c>
      <c r="N669" s="25"/>
      <c r="O669" s="195"/>
    </row>
    <row r="670" spans="1:16" ht="15.95" customHeight="1" x14ac:dyDescent="0.25">
      <c r="A670" s="121"/>
      <c r="B670" s="23"/>
      <c r="C670" s="59"/>
      <c r="D670" s="62"/>
      <c r="E670" s="150"/>
      <c r="F670" s="483"/>
      <c r="G670" s="484"/>
      <c r="H670" s="51">
        <v>45678</v>
      </c>
      <c r="I670" s="71" t="s">
        <v>13</v>
      </c>
      <c r="J670" s="52">
        <f>(IF(AND($D$754&lt;&gt;"",$D$754&gt;(AVERAGE(VLOOKUP(WORKDAY.INTL(H670,-7,1,),'Tasas-TC'!A:B,2,FALSE),VLOOKUP(WORKDAY.INTL(H669,-7,1,),'Tasas-TC'!A:B,2,FALSE))+$D$753)),$D$754,IF(AND($D$755&lt;&gt;"",$D$755&lt;(AVERAGE(VLOOKUP(WORKDAY.INTL(H670,-7,1,),'Tasas-TC'!A:B,2,FALSE),VLOOKUP(WORKDAY.INTL(H669,-7,1,),'Tasas-TC'!A:B,2,FALSE))+$D$753)),$D$755,(AVERAGE(VLOOKUP(WORKDAY.INTL(H670,-7,1,),'Tasas-TC'!A:B,2,FALSE),VLOOKUP(WORKDAY.INTL(H669,-7,1,),'Tasas-TC'!A:B,2,FALSE))+$D$753)))/360)*(H670-H669)*L669</f>
        <v>1328689.2361111112</v>
      </c>
      <c r="K670" s="52">
        <f>+IF(OR(I670="A + C",I670="A"),$D$675*$D$682,0)</f>
        <v>6250000</v>
      </c>
      <c r="L670" s="53">
        <f>+L669-K670</f>
        <v>0</v>
      </c>
      <c r="M670" s="109">
        <f t="shared" si="61"/>
        <v>7578689.236111111</v>
      </c>
      <c r="N670" s="25"/>
      <c r="O670" s="195"/>
    </row>
    <row r="671" spans="1:16" ht="15.95" customHeight="1" x14ac:dyDescent="0.25">
      <c r="A671" s="121"/>
      <c r="B671" s="23"/>
      <c r="C671" s="59" t="s">
        <v>9</v>
      </c>
      <c r="D671" s="98" t="s">
        <v>18</v>
      </c>
      <c r="E671" s="150"/>
      <c r="F671" s="483"/>
      <c r="G671" s="484"/>
      <c r="H671" s="421"/>
      <c r="L671" s="461"/>
      <c r="N671" s="25"/>
      <c r="O671" s="195"/>
    </row>
    <row r="672" spans="1:16" ht="15.95" customHeight="1" x14ac:dyDescent="0.25">
      <c r="A672" s="121"/>
      <c r="B672" s="32"/>
      <c r="C672" s="59" t="s">
        <v>10</v>
      </c>
      <c r="D672" s="65">
        <v>44579</v>
      </c>
      <c r="E672" s="272"/>
      <c r="F672" s="483"/>
      <c r="G672" s="484"/>
      <c r="H672" s="421"/>
      <c r="L672" s="461"/>
      <c r="N672" s="25"/>
      <c r="O672" s="195"/>
    </row>
    <row r="673" spans="1:15" ht="15.95" customHeight="1" x14ac:dyDescent="0.25">
      <c r="A673" s="121"/>
      <c r="B673" s="23"/>
      <c r="C673" s="59" t="s">
        <v>11</v>
      </c>
      <c r="D673" s="65">
        <v>44582</v>
      </c>
      <c r="E673" s="150"/>
      <c r="F673" s="483"/>
      <c r="G673" s="484"/>
      <c r="H673" s="54"/>
      <c r="I673" s="61"/>
      <c r="J673" s="55"/>
      <c r="K673" s="56"/>
      <c r="L673" s="57"/>
      <c r="M673" s="109"/>
      <c r="N673" s="25"/>
      <c r="O673" s="195"/>
    </row>
    <row r="674" spans="1:15" ht="15.95" customHeight="1" x14ac:dyDescent="0.25">
      <c r="A674" s="121"/>
      <c r="B674" s="23"/>
      <c r="C674" s="59" t="s">
        <v>12</v>
      </c>
      <c r="D674" s="65">
        <v>45678</v>
      </c>
      <c r="E674" s="36"/>
      <c r="F674" s="483"/>
      <c r="G674" s="484"/>
      <c r="H674" s="35"/>
      <c r="I674" s="35"/>
      <c r="J674" s="35"/>
      <c r="K674" s="109"/>
      <c r="L674" s="109"/>
      <c r="M674" s="109"/>
      <c r="N674" s="25"/>
      <c r="O674" s="195"/>
    </row>
    <row r="675" spans="1:15" ht="15.95" customHeight="1" x14ac:dyDescent="0.25">
      <c r="A675" s="121"/>
      <c r="B675" s="23"/>
      <c r="C675" s="59" t="s">
        <v>27</v>
      </c>
      <c r="D675" s="66">
        <v>25000000</v>
      </c>
      <c r="E675" s="36"/>
      <c r="F675" s="483"/>
      <c r="G675" s="484"/>
      <c r="H675" s="656" t="s">
        <v>43</v>
      </c>
      <c r="I675" s="656"/>
      <c r="J675" s="92">
        <f>+J657+(L670*($P$4+D678)*($M$4-H670)/365)</f>
        <v>0</v>
      </c>
      <c r="K675" s="92"/>
      <c r="L675" s="24"/>
      <c r="M675" s="24"/>
      <c r="N675" s="25"/>
      <c r="O675" s="195"/>
    </row>
    <row r="676" spans="1:15" ht="15.95" customHeight="1" x14ac:dyDescent="0.25">
      <c r="A676" s="121"/>
      <c r="B676" s="23"/>
      <c r="C676" s="59" t="s">
        <v>26</v>
      </c>
      <c r="D676" s="66">
        <v>6</v>
      </c>
      <c r="E676" s="36"/>
      <c r="F676" s="483"/>
      <c r="G676" s="484"/>
      <c r="H676" s="657"/>
      <c r="I676" s="657"/>
      <c r="J676" s="392"/>
      <c r="K676" s="24"/>
      <c r="L676" s="33"/>
      <c r="M676" s="33"/>
      <c r="N676" s="25"/>
      <c r="O676" s="195"/>
    </row>
    <row r="677" spans="1:15" ht="15.95" customHeight="1" x14ac:dyDescent="0.25">
      <c r="A677" s="121"/>
      <c r="B677" s="23"/>
      <c r="C677" s="59" t="s">
        <v>19</v>
      </c>
      <c r="D677" s="67" t="s">
        <v>20</v>
      </c>
      <c r="E677" s="36"/>
      <c r="F677" s="483"/>
      <c r="G677" s="484"/>
      <c r="H677" s="24"/>
      <c r="I677" s="24"/>
      <c r="J677" s="24"/>
      <c r="K677" s="24"/>
      <c r="L677" s="24"/>
      <c r="M677" s="24"/>
      <c r="N677" s="25"/>
      <c r="O677" s="195"/>
    </row>
    <row r="678" spans="1:15" ht="15.95" customHeight="1" x14ac:dyDescent="0.25">
      <c r="A678" s="121"/>
      <c r="B678" s="23"/>
      <c r="C678" s="59" t="s">
        <v>14</v>
      </c>
      <c r="D678" s="68">
        <v>0.05</v>
      </c>
      <c r="E678" s="36"/>
      <c r="F678" s="483"/>
      <c r="G678" s="484"/>
      <c r="H678" s="638" t="s">
        <v>44</v>
      </c>
      <c r="I678" s="639"/>
      <c r="J678" s="639"/>
      <c r="K678" s="639"/>
      <c r="L678" s="639"/>
      <c r="M678" s="640"/>
      <c r="N678" s="25"/>
      <c r="O678" s="195"/>
    </row>
    <row r="679" spans="1:15" ht="15.95" customHeight="1" x14ac:dyDescent="0.25">
      <c r="A679" s="121"/>
      <c r="B679" s="23"/>
      <c r="C679" s="59" t="s">
        <v>31</v>
      </c>
      <c r="D679" s="68"/>
      <c r="E679" s="36"/>
      <c r="F679" s="480"/>
      <c r="G679" s="484"/>
      <c r="H679" s="23"/>
      <c r="I679" s="24"/>
      <c r="J679" s="24"/>
      <c r="K679" s="24"/>
      <c r="L679" s="24"/>
      <c r="M679" s="25"/>
      <c r="N679" s="25"/>
      <c r="O679" s="195"/>
    </row>
    <row r="680" spans="1:15" ht="15.95" customHeight="1" x14ac:dyDescent="0.25">
      <c r="A680" s="121"/>
      <c r="B680" s="23"/>
      <c r="C680" s="59" t="s">
        <v>32</v>
      </c>
      <c r="D680" s="68"/>
      <c r="E680" s="41"/>
      <c r="F680" s="480"/>
      <c r="G680" s="484"/>
      <c r="H680" s="23"/>
      <c r="I680" s="24"/>
      <c r="J680" s="24"/>
      <c r="K680" s="24"/>
      <c r="L680" s="24"/>
      <c r="M680" s="25"/>
      <c r="N680" s="25"/>
      <c r="O680" s="195"/>
    </row>
    <row r="681" spans="1:15" ht="15.95" customHeight="1" x14ac:dyDescent="0.25">
      <c r="A681" s="121"/>
      <c r="B681" s="23"/>
      <c r="C681" s="59" t="s">
        <v>360</v>
      </c>
      <c r="D681" s="68">
        <v>0.15</v>
      </c>
      <c r="E681" s="36"/>
      <c r="F681" s="480"/>
      <c r="G681" s="484"/>
      <c r="H681" s="96"/>
      <c r="I681" s="35"/>
      <c r="J681" s="24"/>
      <c r="K681" s="24"/>
      <c r="L681" s="24"/>
      <c r="M681" s="25"/>
      <c r="N681" s="25"/>
      <c r="O681" s="195"/>
    </row>
    <row r="682" spans="1:15" ht="15.95" customHeight="1" x14ac:dyDescent="0.25">
      <c r="A682" s="121"/>
      <c r="B682" s="23"/>
      <c r="C682" s="60" t="s">
        <v>64</v>
      </c>
      <c r="D682" s="110">
        <v>0.25</v>
      </c>
      <c r="E682" s="43"/>
      <c r="F682" s="480"/>
      <c r="G682" s="484"/>
      <c r="H682" s="23"/>
      <c r="I682" s="24"/>
      <c r="J682" s="24"/>
      <c r="K682" s="24"/>
      <c r="L682" s="24"/>
      <c r="M682" s="25"/>
      <c r="N682" s="25"/>
      <c r="O682" s="195"/>
    </row>
    <row r="683" spans="1:15" ht="15.95" customHeight="1" x14ac:dyDescent="0.25">
      <c r="A683" s="121"/>
      <c r="B683" s="23"/>
      <c r="C683" s="24"/>
      <c r="D683" s="24"/>
      <c r="E683" s="43"/>
      <c r="F683" s="480"/>
      <c r="G683" s="484"/>
      <c r="H683" s="23"/>
      <c r="I683" s="24"/>
      <c r="J683" s="24"/>
      <c r="K683" s="24"/>
      <c r="L683" s="24"/>
      <c r="M683" s="25"/>
      <c r="N683" s="25"/>
      <c r="O683" s="195"/>
    </row>
    <row r="684" spans="1:15" ht="15.95" customHeight="1" x14ac:dyDescent="0.25">
      <c r="A684" s="121"/>
      <c r="B684" s="23"/>
      <c r="C684" s="24"/>
      <c r="D684" s="24"/>
      <c r="E684" s="43"/>
      <c r="F684" s="480"/>
      <c r="G684" s="484"/>
      <c r="H684" s="23"/>
      <c r="I684" s="24"/>
      <c r="J684" s="24"/>
      <c r="K684" s="24"/>
      <c r="L684" s="24"/>
      <c r="M684" s="25"/>
      <c r="N684" s="25"/>
      <c r="O684" s="195"/>
    </row>
    <row r="685" spans="1:15" ht="15.95" customHeight="1" x14ac:dyDescent="0.25">
      <c r="A685" s="121"/>
      <c r="B685" s="23"/>
      <c r="C685" s="24"/>
      <c r="D685" s="24"/>
      <c r="E685" s="44"/>
      <c r="F685" s="480"/>
      <c r="G685" s="484"/>
      <c r="H685" s="23"/>
      <c r="I685" s="24"/>
      <c r="J685" s="24"/>
      <c r="K685" s="24"/>
      <c r="L685" s="24"/>
      <c r="M685" s="25"/>
      <c r="N685" s="25"/>
      <c r="O685" s="195"/>
    </row>
    <row r="686" spans="1:15" ht="15.95" customHeight="1" x14ac:dyDescent="0.25">
      <c r="A686" s="121"/>
      <c r="B686" s="23"/>
      <c r="C686" s="24"/>
      <c r="D686" s="24"/>
      <c r="E686" s="24"/>
      <c r="F686" s="480"/>
      <c r="G686" s="485"/>
      <c r="H686" s="23"/>
      <c r="I686" s="24"/>
      <c r="J686" s="24"/>
      <c r="K686" s="24"/>
      <c r="L686" s="24"/>
      <c r="M686" s="25"/>
      <c r="N686" s="25"/>
      <c r="O686" s="195"/>
    </row>
    <row r="687" spans="1:15" ht="15.95" customHeight="1" x14ac:dyDescent="0.25">
      <c r="A687" s="121"/>
      <c r="B687" s="23"/>
      <c r="C687" s="24"/>
      <c r="D687" s="24"/>
      <c r="E687" s="24"/>
      <c r="F687" s="480"/>
      <c r="G687" s="485"/>
      <c r="H687" s="23"/>
      <c r="I687" s="24"/>
      <c r="J687" s="24"/>
      <c r="K687" s="24"/>
      <c r="L687" s="24"/>
      <c r="M687" s="25"/>
      <c r="N687" s="25"/>
      <c r="O687" s="195"/>
    </row>
    <row r="688" spans="1:15" ht="15.95" customHeight="1" x14ac:dyDescent="0.25">
      <c r="A688" s="121"/>
      <c r="B688" s="23"/>
      <c r="C688" s="24"/>
      <c r="D688" s="24"/>
      <c r="E688" s="24"/>
      <c r="F688" s="480"/>
      <c r="G688" s="485"/>
      <c r="H688" s="23"/>
      <c r="I688" s="24"/>
      <c r="J688" s="24"/>
      <c r="K688" s="24"/>
      <c r="L688" s="24"/>
      <c r="M688" s="25"/>
      <c r="N688" s="25"/>
      <c r="O688" s="195"/>
    </row>
    <row r="689" spans="1:17" ht="20.100000000000001" customHeight="1" x14ac:dyDescent="0.25">
      <c r="A689" s="121"/>
      <c r="B689" s="23"/>
      <c r="C689" s="24"/>
      <c r="D689" s="24"/>
      <c r="E689" s="24"/>
      <c r="F689" s="480"/>
      <c r="G689" s="485"/>
      <c r="H689" s="23"/>
      <c r="I689" s="24"/>
      <c r="J689" s="24"/>
      <c r="K689" s="24"/>
      <c r="L689" s="24"/>
      <c r="M689" s="25"/>
      <c r="N689" s="25"/>
      <c r="O689" s="195"/>
    </row>
    <row r="690" spans="1:17" ht="15.95" customHeight="1" x14ac:dyDescent="0.25">
      <c r="A690" s="121"/>
      <c r="B690" s="23"/>
      <c r="C690" s="24"/>
      <c r="D690" s="24"/>
      <c r="E690" s="24"/>
      <c r="F690" s="480"/>
      <c r="G690" s="485"/>
      <c r="H690" s="23"/>
      <c r="I690" s="24"/>
      <c r="J690" s="24"/>
      <c r="K690" s="24"/>
      <c r="L690" s="24"/>
      <c r="M690" s="25"/>
      <c r="N690" s="25"/>
      <c r="O690" s="194" t="str">
        <f>+D770</f>
        <v>ON Pyme CNV Garantizada</v>
      </c>
    </row>
    <row r="691" spans="1:17" ht="15.95" customHeight="1" x14ac:dyDescent="0.25">
      <c r="A691" s="121"/>
      <c r="B691" s="23"/>
      <c r="C691" s="24"/>
      <c r="D691" s="24"/>
      <c r="E691" s="24"/>
      <c r="F691" s="480"/>
      <c r="G691" s="485"/>
      <c r="H691" s="26"/>
      <c r="I691" s="27"/>
      <c r="J691" s="27"/>
      <c r="K691" s="27"/>
      <c r="L691" s="27"/>
      <c r="M691" s="28"/>
      <c r="N691" s="25"/>
      <c r="O691" s="195"/>
    </row>
    <row r="692" spans="1:17" ht="15.95" customHeight="1" x14ac:dyDescent="0.25">
      <c r="A692" s="121"/>
      <c r="B692" s="26"/>
      <c r="C692" s="27"/>
      <c r="D692" s="27"/>
      <c r="E692" s="27"/>
      <c r="F692" s="481"/>
      <c r="G692" s="486"/>
      <c r="H692" s="27"/>
      <c r="I692" s="27"/>
      <c r="J692" s="27"/>
      <c r="K692" s="27"/>
      <c r="L692" s="27"/>
      <c r="M692" s="27"/>
      <c r="N692" s="28"/>
      <c r="O692" s="194" t="str">
        <f>+IF(J768="vencida",IF(D770='Reporte - Oscuro'!$C$40,'Reporte - Oscuro'!$C$40&amp;" vencida",IF(D770='Reporte - Oscuro'!$C$41,'Reporte - Oscuro'!$C$41&amp;" vencida",IF(D770='Reporte - Oscuro'!$C$42,'Reporte - Oscuro'!$C$42&amp;" vencida",'Reporte - Oscuro'!$C$43&amp;" vencida"))),D770&amp;" vigente")</f>
        <v>ON Pyme CNV Garantizada vencida</v>
      </c>
    </row>
    <row r="693" spans="1:17" ht="15.95" customHeight="1" x14ac:dyDescent="0.25">
      <c r="A693" s="121"/>
      <c r="B693" s="635" t="s">
        <v>373</v>
      </c>
      <c r="C693" s="636"/>
      <c r="D693" s="636"/>
      <c r="E693" s="636"/>
      <c r="F693" s="636"/>
      <c r="G693" s="636"/>
      <c r="H693" s="636"/>
      <c r="I693" s="636"/>
      <c r="J693" s="636"/>
      <c r="K693" s="636"/>
      <c r="L693" s="636"/>
      <c r="M693" s="636"/>
      <c r="N693" s="637"/>
      <c r="O693" s="195"/>
    </row>
    <row r="694" spans="1:17" ht="15.95" customHeight="1" x14ac:dyDescent="0.25">
      <c r="A694" s="121"/>
      <c r="B694" s="23"/>
      <c r="C694" s="24"/>
      <c r="D694" s="24"/>
      <c r="E694" s="24"/>
      <c r="F694" s="483"/>
      <c r="G694" s="484"/>
      <c r="H694" s="31"/>
      <c r="I694" s="31"/>
      <c r="J694" s="24"/>
      <c r="K694" s="24"/>
      <c r="L694" s="24"/>
      <c r="M694" s="24"/>
      <c r="N694" s="25"/>
      <c r="O694" s="195"/>
    </row>
    <row r="695" spans="1:17" ht="15.95" customHeight="1" x14ac:dyDescent="0.25">
      <c r="A695" s="121"/>
      <c r="B695" s="23"/>
      <c r="C695" s="638" t="s">
        <v>37</v>
      </c>
      <c r="D695" s="639"/>
      <c r="E695" s="640"/>
      <c r="F695" s="483"/>
      <c r="G695" s="484"/>
      <c r="H695" s="641" t="s">
        <v>28</v>
      </c>
      <c r="I695" s="642"/>
      <c r="J695" s="39">
        <f>+$D$716-SUMIF($H$702:$H$708,"&lt;"&amp;$M$4,$K$702:$K$708)</f>
        <v>0</v>
      </c>
      <c r="K695" s="24"/>
      <c r="L695" s="24"/>
      <c r="M695" s="24"/>
      <c r="N695" s="25"/>
      <c r="O695" s="195"/>
    </row>
    <row r="696" spans="1:17" ht="15.95" customHeight="1" x14ac:dyDescent="0.25">
      <c r="A696" s="121"/>
      <c r="B696" s="23"/>
      <c r="C696" s="58"/>
      <c r="D696" s="664"/>
      <c r="E696" s="665"/>
      <c r="F696" s="483"/>
      <c r="G696" s="484"/>
      <c r="H696" s="645" t="s">
        <v>29</v>
      </c>
      <c r="I696" s="646"/>
      <c r="J696" s="40">
        <f>+$D$715</f>
        <v>45443</v>
      </c>
      <c r="K696" s="24"/>
      <c r="L696" s="24"/>
      <c r="M696" s="24"/>
      <c r="N696" s="25"/>
      <c r="O696" s="195"/>
    </row>
    <row r="697" spans="1:17" ht="15.95" customHeight="1" x14ac:dyDescent="0.25">
      <c r="A697" s="121"/>
      <c r="B697" s="23"/>
      <c r="C697" s="59" t="s">
        <v>25</v>
      </c>
      <c r="D697" s="658"/>
      <c r="E697" s="659"/>
      <c r="F697" s="483"/>
      <c r="G697" s="484"/>
      <c r="H697" s="649" t="s">
        <v>30</v>
      </c>
      <c r="I697" s="650"/>
      <c r="J697" s="42" t="str">
        <f t="array" ref="J697">+IF(H706&gt;=$M$4,MIN(IF($H$702:$H$708&gt;=$M$4,$H$702:$H$708,"")),"vencida")</f>
        <v>vencida</v>
      </c>
      <c r="K697" s="24"/>
      <c r="L697" s="24"/>
      <c r="M697" s="24"/>
      <c r="N697" s="25"/>
      <c r="O697" s="197">
        <f>+M773</f>
        <v>-20000000</v>
      </c>
      <c r="P697" s="197">
        <f>-M773</f>
        <v>20000000</v>
      </c>
      <c r="Q697" s="197"/>
    </row>
    <row r="698" spans="1:17" ht="15.95" customHeight="1" x14ac:dyDescent="0.25">
      <c r="A698" s="121"/>
      <c r="B698" s="23"/>
      <c r="C698" s="59" t="s">
        <v>6</v>
      </c>
      <c r="D698" s="658" t="s">
        <v>374</v>
      </c>
      <c r="E698" s="659"/>
      <c r="F698" s="483"/>
      <c r="G698" s="484"/>
      <c r="H698" s="24"/>
      <c r="I698" s="24"/>
      <c r="J698" s="24"/>
      <c r="K698" s="24"/>
      <c r="L698" s="24"/>
      <c r="M698" s="24"/>
      <c r="N698" s="25"/>
      <c r="O698" s="197">
        <f t="shared" ref="O698:O703" si="62">+M774+O697</f>
        <v>-15492638.888888888</v>
      </c>
      <c r="P698" s="197">
        <f t="shared" ref="P698:P703" si="63">+(M774/(1+$J$783)^((H774-$H$773)/365))/$P$697</f>
        <v>0.22536805555555559</v>
      </c>
      <c r="Q698" s="197">
        <f t="shared" ref="Q698:Q703" si="64">+P698*((H774-$H$773)/365)</f>
        <v>0.11361019786910201</v>
      </c>
    </row>
    <row r="699" spans="1:17" ht="15.95" customHeight="1" x14ac:dyDescent="0.25">
      <c r="A699" s="121"/>
      <c r="B699" s="23"/>
      <c r="C699" s="59" t="s">
        <v>8</v>
      </c>
      <c r="D699" s="658" t="s">
        <v>17</v>
      </c>
      <c r="E699" s="659"/>
      <c r="F699" s="483"/>
      <c r="G699" s="484"/>
      <c r="H699" s="651" t="s">
        <v>41</v>
      </c>
      <c r="I699" s="652"/>
      <c r="J699" s="652"/>
      <c r="K699" s="652"/>
      <c r="L699" s="653"/>
      <c r="M699" s="24"/>
      <c r="N699" s="25"/>
      <c r="O699" s="197">
        <f t="shared" si="62"/>
        <v>-3041552.0833333321</v>
      </c>
      <c r="P699" s="197">
        <f t="shared" si="63"/>
        <v>0.62255434027777778</v>
      </c>
      <c r="Q699" s="197">
        <f t="shared" si="64"/>
        <v>0.62255434027777778</v>
      </c>
    </row>
    <row r="700" spans="1:17" ht="15.95" customHeight="1" x14ac:dyDescent="0.25">
      <c r="A700" s="121"/>
      <c r="B700" s="23"/>
      <c r="C700" s="59" t="s">
        <v>33</v>
      </c>
      <c r="D700" s="73" t="s">
        <v>309</v>
      </c>
      <c r="E700" s="273">
        <v>1</v>
      </c>
      <c r="F700" s="483">
        <f>+E700*J695</f>
        <v>0</v>
      </c>
      <c r="G700" s="484"/>
      <c r="H700" s="81" t="s">
        <v>0</v>
      </c>
      <c r="I700" s="82" t="s">
        <v>2</v>
      </c>
      <c r="J700" s="82" t="s">
        <v>3</v>
      </c>
      <c r="K700" s="82" t="s">
        <v>4</v>
      </c>
      <c r="L700" s="83" t="s">
        <v>5</v>
      </c>
      <c r="M700" s="82" t="s">
        <v>44</v>
      </c>
      <c r="N700" s="25"/>
      <c r="O700" s="197">
        <f t="shared" si="62"/>
        <v>988649.41666666744</v>
      </c>
      <c r="P700" s="197">
        <f t="shared" si="63"/>
        <v>0.20151007499999998</v>
      </c>
      <c r="Q700" s="197">
        <f t="shared" si="64"/>
        <v>0.30419740089041092</v>
      </c>
    </row>
    <row r="701" spans="1:17" ht="15.95" customHeight="1" x14ac:dyDescent="0.25">
      <c r="A701" s="121"/>
      <c r="B701" s="23"/>
      <c r="C701" s="59"/>
      <c r="D701" s="73"/>
      <c r="E701" s="273"/>
      <c r="F701" s="483">
        <f>+E701*$J$731</f>
        <v>0</v>
      </c>
      <c r="G701" s="484"/>
      <c r="H701" s="45"/>
      <c r="I701" s="46"/>
      <c r="J701" s="46"/>
      <c r="K701" s="46"/>
      <c r="L701" s="47"/>
      <c r="M701" s="23"/>
      <c r="N701" s="25"/>
      <c r="O701" s="197">
        <f t="shared" si="62"/>
        <v>10464836.21527778</v>
      </c>
      <c r="P701" s="197">
        <f t="shared" si="63"/>
        <v>0.47380933993055557</v>
      </c>
      <c r="Q701" s="197">
        <f t="shared" si="64"/>
        <v>0.95151300320300602</v>
      </c>
    </row>
    <row r="702" spans="1:17" ht="15.95" customHeight="1" x14ac:dyDescent="0.25">
      <c r="A702" s="121"/>
      <c r="B702" s="23"/>
      <c r="C702" s="59" t="s">
        <v>34</v>
      </c>
      <c r="D702" s="658" t="s">
        <v>48</v>
      </c>
      <c r="E702" s="659"/>
      <c r="F702" s="483"/>
      <c r="G702" s="484"/>
      <c r="H702" s="48">
        <f>+D714</f>
        <v>44712</v>
      </c>
      <c r="I702" s="70"/>
      <c r="J702" s="49"/>
      <c r="K702" s="49"/>
      <c r="L702" s="50">
        <f>+D716</f>
        <v>25000000</v>
      </c>
      <c r="M702" s="93">
        <f>-L702</f>
        <v>-25000000</v>
      </c>
      <c r="N702" s="25"/>
      <c r="O702" s="197">
        <f t="shared" si="62"/>
        <v>11494058.222222224</v>
      </c>
      <c r="P702" s="197">
        <f t="shared" si="63"/>
        <v>5.1461100347222212E-2</v>
      </c>
      <c r="Q702" s="197">
        <f t="shared" si="64"/>
        <v>0.12900522415810498</v>
      </c>
    </row>
    <row r="703" spans="1:17" ht="15.95" customHeight="1" x14ac:dyDescent="0.25">
      <c r="A703" s="121"/>
      <c r="B703" s="23"/>
      <c r="C703" s="79" t="s">
        <v>38</v>
      </c>
      <c r="D703" s="75"/>
      <c r="E703" s="76"/>
      <c r="F703" s="483"/>
      <c r="G703" s="484"/>
      <c r="H703" s="51">
        <v>44895</v>
      </c>
      <c r="I703" s="71" t="s">
        <v>13</v>
      </c>
      <c r="J703" s="52">
        <f>(IF(AND($D$720&lt;&gt;"",$D$720&gt;(AVERAGE(VLOOKUP(WORKDAY.INTL(H703,-7,1,),'Tasas-TC'!A:B,2,FALSE),VLOOKUP(WORKDAY.INTL(H702,-7,1,),'Tasas-TC'!A:B,2,FALSE))+$D$719)),$D$720,IF(AND($D$721&lt;&gt;"",$D$721&lt;(AVERAGE(VLOOKUP(WORKDAY.INTL(H703,-7,1,),'Tasas-TC'!A:B,2,FALSE),VLOOKUP(WORKDAY.INTL(H702,-7,1,),'Tasas-TC'!A:B,2,FALSE))+$D$719)),$D$721,(AVERAGE(VLOOKUP(WORKDAY.INTL(H703,-7,1,),'Tasas-TC'!A:B,2,FALSE),VLOOKUP(WORKDAY.INTL(H702,-7,1,),'Tasas-TC'!A:B,2,FALSE))+$D$719)))/360)*(H703-H702)*L702</f>
        <v>7756054.6875000009</v>
      </c>
      <c r="K703" s="52">
        <f>+IF(OR(I703="A + C",I703="A"),$D$716*D722,0)</f>
        <v>3750000</v>
      </c>
      <c r="L703" s="53">
        <f>+L702-K703</f>
        <v>21250000</v>
      </c>
      <c r="M703" s="94">
        <f>+J703+K703</f>
        <v>11506054.6875</v>
      </c>
      <c r="N703" s="25"/>
      <c r="O703" s="197">
        <f t="shared" si="62"/>
        <v>19499941.486111112</v>
      </c>
      <c r="P703" s="197">
        <f t="shared" si="63"/>
        <v>0.40029416319444439</v>
      </c>
      <c r="Q703" s="197">
        <f t="shared" si="64"/>
        <v>1.2030758822583714</v>
      </c>
    </row>
    <row r="704" spans="1:17" ht="15.95" customHeight="1" x14ac:dyDescent="0.25">
      <c r="A704" s="121"/>
      <c r="B704" s="23"/>
      <c r="C704" s="466"/>
      <c r="D704" s="467"/>
      <c r="E704" s="468"/>
      <c r="F704" s="483"/>
      <c r="G704" s="484"/>
      <c r="H704" s="51">
        <v>45077</v>
      </c>
      <c r="I704" s="71" t="s">
        <v>13</v>
      </c>
      <c r="J704" s="52">
        <f>(IF(AND($D$720&lt;&gt;"",$D$720&gt;(AVERAGE(VLOOKUP(WORKDAY.INTL(H704,-7,1,),'Tasas-TC'!A:B,2,FALSE),VLOOKUP(WORKDAY.INTL(H703,-7,1,),'Tasas-TC'!A:B,2,FALSE))+$D$719)),$D$720,IF(AND($D$721&lt;&gt;"",$D$721&lt;(AVERAGE(VLOOKUP(WORKDAY.INTL(H704,-7,1,),'Tasas-TC'!A:B,2,FALSE),VLOOKUP(WORKDAY.INTL(H703,-7,1,),'Tasas-TC'!A:B,2,FALSE))+$D$719)),$D$721,(AVERAGE(VLOOKUP(WORKDAY.INTL(H704,-7,1,),'Tasas-TC'!A:B,2,FALSE),VLOOKUP(WORKDAY.INTL(H703,-7,1,),'Tasas-TC'!A:B,2,FALSE))+$D$719)))/360)*(H704-H703)*L703</f>
        <v>9067810.3298611119</v>
      </c>
      <c r="K704" s="52">
        <f>+IF(OR(I704="A + C",I704="A"),$D$716*D723,0)</f>
        <v>7500000</v>
      </c>
      <c r="L704" s="53">
        <f t="shared" ref="L704:L706" si="65">+L703-K704</f>
        <v>13750000</v>
      </c>
      <c r="M704" s="94">
        <f>+J704+K704</f>
        <v>16567810.329861112</v>
      </c>
      <c r="N704" s="25"/>
      <c r="O704" s="197"/>
      <c r="P704" s="29"/>
    </row>
    <row r="705" spans="1:16" ht="15.95" customHeight="1" x14ac:dyDescent="0.25">
      <c r="A705" s="121"/>
      <c r="B705" s="23"/>
      <c r="C705" s="23"/>
      <c r="D705" s="24"/>
      <c r="E705" s="469"/>
      <c r="F705" s="483"/>
      <c r="G705" s="484"/>
      <c r="H705" s="51">
        <v>45260</v>
      </c>
      <c r="I705" s="71" t="s">
        <v>13</v>
      </c>
      <c r="J705" s="52">
        <f>(IF(AND($D$720&lt;&gt;"",$D$720&gt;(AVERAGE(VLOOKUP(WORKDAY.INTL(H705,-7,1,),'Tasas-TC'!A:B,2,FALSE),VLOOKUP(WORKDAY.INTL(H704,-7,1,),'Tasas-TC'!A:B,2,FALSE))+$D$719)),$D$720,IF(AND($D$721&lt;&gt;"",$D$721&lt;(AVERAGE(VLOOKUP(WORKDAY.INTL(H705,-7,1,),'Tasas-TC'!A:B,2,FALSE),VLOOKUP(WORKDAY.INTL(H704,-7,1,),'Tasas-TC'!A:B,2,FALSE))+$D$719)),$D$721,(AVERAGE(VLOOKUP(WORKDAY.INTL(H705,-7,1,),'Tasas-TC'!A:B,2,FALSE),VLOOKUP(WORKDAY.INTL(H704,-7,1,),'Tasas-TC'!A:B,2,FALSE))+$D$719)))/360)*(H705-H704)*L704</f>
        <v>8038020.8333333321</v>
      </c>
      <c r="K705" s="52">
        <f>+IF(OR(I705="A + C",I705="A"),$D$716*D724,0)</f>
        <v>5000000</v>
      </c>
      <c r="L705" s="53">
        <f t="shared" si="65"/>
        <v>8750000</v>
      </c>
      <c r="M705" s="94">
        <f>+J705+K705</f>
        <v>13038020.833333332</v>
      </c>
      <c r="N705" s="25"/>
      <c r="O705" s="197"/>
      <c r="P705" s="29"/>
    </row>
    <row r="706" spans="1:16" ht="15.95" customHeight="1" x14ac:dyDescent="0.25">
      <c r="A706" s="121"/>
      <c r="B706" s="23"/>
      <c r="C706" s="26"/>
      <c r="D706" s="27" t="str">
        <f>+B693</f>
        <v>Campo Fértil I</v>
      </c>
      <c r="E706" s="470"/>
      <c r="F706" s="483"/>
      <c r="G706" s="484">
        <f>+J695</f>
        <v>0</v>
      </c>
      <c r="H706" s="51">
        <v>45443</v>
      </c>
      <c r="I706" s="71" t="s">
        <v>13</v>
      </c>
      <c r="J706" s="52">
        <f>(IF(AND($D$720&lt;&gt;"",$D$720&gt;(AVERAGE(VLOOKUP(WORKDAY.INTL(H706,-7,1,),'Tasas-TC'!A:B,2,FALSE),VLOOKUP(WORKDAY.INTL(H705,-7,1,),'Tasas-TC'!A:B,2,FALSE))+$D$719)),$D$720,IF(AND($D$721&lt;&gt;"",$D$721&lt;(AVERAGE(VLOOKUP(WORKDAY.INTL(H706,-7,1,),'Tasas-TC'!A:B,2,FALSE),VLOOKUP(WORKDAY.INTL(H705,-7,1,),'Tasas-TC'!A:B,2,FALSE))+$D$719)),$D$721,(AVERAGE(VLOOKUP(WORKDAY.INTL(H706,-7,1,),'Tasas-TC'!A:B,2,FALSE),VLOOKUP(WORKDAY.INTL(H705,-7,1,),'Tasas-TC'!A:B,2,FALSE))+$D$719)))/360)*(H706-H705)*L705</f>
        <v>3757099.609375</v>
      </c>
      <c r="K706" s="52">
        <f>+IF(OR(I706="A + C",I706="A"),$D$716*D725,0)</f>
        <v>8750000</v>
      </c>
      <c r="L706" s="53">
        <f t="shared" si="65"/>
        <v>0</v>
      </c>
      <c r="M706" s="94">
        <f t="shared" ref="M706" si="66">+J706+K706</f>
        <v>12507099.609375</v>
      </c>
      <c r="N706" s="25"/>
      <c r="O706" s="197"/>
      <c r="P706" s="29"/>
    </row>
    <row r="707" spans="1:16" ht="15.95" customHeight="1" x14ac:dyDescent="0.25">
      <c r="A707" s="121"/>
      <c r="B707" s="23"/>
      <c r="C707" s="24"/>
      <c r="D707" s="24"/>
      <c r="E707" s="150"/>
      <c r="F707" s="483"/>
      <c r="G707" s="484"/>
      <c r="H707" s="51"/>
      <c r="I707" s="71"/>
      <c r="J707" s="52"/>
      <c r="K707" s="52"/>
      <c r="L707" s="53"/>
      <c r="M707" s="94"/>
      <c r="N707" s="25"/>
      <c r="O707" s="197"/>
    </row>
    <row r="708" spans="1:16" ht="15.95" customHeight="1" x14ac:dyDescent="0.25">
      <c r="A708" s="121"/>
      <c r="B708" s="32"/>
      <c r="C708" s="24"/>
      <c r="D708" s="24"/>
      <c r="E708" s="272"/>
      <c r="F708" s="483"/>
      <c r="G708" s="484"/>
      <c r="H708" s="51"/>
      <c r="I708" s="71"/>
      <c r="J708" s="52"/>
      <c r="K708" s="52"/>
      <c r="L708" s="53"/>
      <c r="M708" s="94"/>
      <c r="N708" s="25"/>
      <c r="O708" s="197"/>
      <c r="P708" s="37"/>
    </row>
    <row r="709" spans="1:16" ht="15.95" customHeight="1" x14ac:dyDescent="0.25">
      <c r="A709" s="121"/>
      <c r="B709" s="23"/>
      <c r="C709" s="24"/>
      <c r="D709" s="24"/>
      <c r="E709" s="150"/>
      <c r="F709" s="483"/>
      <c r="G709" s="484"/>
      <c r="H709" s="54"/>
      <c r="I709" s="61"/>
      <c r="J709" s="55"/>
      <c r="K709" s="56"/>
      <c r="L709" s="57"/>
      <c r="M709" s="109"/>
      <c r="N709" s="25"/>
      <c r="O709" s="197"/>
    </row>
    <row r="710" spans="1:16" ht="15.95" customHeight="1" x14ac:dyDescent="0.25">
      <c r="A710" s="121"/>
      <c r="B710" s="23"/>
      <c r="C710" s="268" t="s">
        <v>36</v>
      </c>
      <c r="D710" s="269"/>
      <c r="E710" s="36"/>
      <c r="F710" s="483"/>
      <c r="G710" s="484"/>
      <c r="H710" s="35"/>
      <c r="I710" s="35"/>
      <c r="J710" s="35"/>
      <c r="K710" s="109"/>
      <c r="L710" s="109"/>
      <c r="M710" s="109"/>
      <c r="N710" s="25"/>
      <c r="O710" s="195"/>
    </row>
    <row r="711" spans="1:16" ht="15.95" customHeight="1" x14ac:dyDescent="0.25">
      <c r="A711" s="121"/>
      <c r="B711" s="23"/>
      <c r="C711" s="59"/>
      <c r="D711" s="62"/>
      <c r="E711" s="36"/>
      <c r="F711" s="483"/>
      <c r="G711" s="484"/>
      <c r="H711" s="656" t="s">
        <v>43</v>
      </c>
      <c r="I711" s="656"/>
      <c r="J711" s="92">
        <f>+J695+(L706*($P$4+D719)*($M$4-H706)/365)</f>
        <v>0</v>
      </c>
      <c r="K711" s="92"/>
      <c r="L711" s="24"/>
      <c r="M711" s="24"/>
      <c r="N711" s="25"/>
      <c r="O711" s="195"/>
    </row>
    <row r="712" spans="1:16" ht="15.95" customHeight="1" x14ac:dyDescent="0.25">
      <c r="A712" s="121"/>
      <c r="B712" s="23"/>
      <c r="C712" s="59" t="s">
        <v>9</v>
      </c>
      <c r="D712" s="98" t="s">
        <v>18</v>
      </c>
      <c r="E712" s="36"/>
      <c r="F712" s="483"/>
      <c r="G712" s="484"/>
      <c r="H712" s="657"/>
      <c r="I712" s="657"/>
      <c r="J712" s="392"/>
      <c r="K712" s="24"/>
      <c r="L712" s="33"/>
      <c r="M712" s="33"/>
      <c r="N712" s="25"/>
      <c r="O712" s="195"/>
    </row>
    <row r="713" spans="1:16" ht="15.95" customHeight="1" x14ac:dyDescent="0.25">
      <c r="A713" s="121"/>
      <c r="B713" s="23"/>
      <c r="C713" s="59" t="s">
        <v>10</v>
      </c>
      <c r="D713" s="65">
        <v>44707</v>
      </c>
      <c r="E713" s="36"/>
      <c r="F713" s="483"/>
      <c r="G713" s="484"/>
      <c r="H713" s="24"/>
      <c r="I713" s="24"/>
      <c r="J713" s="24"/>
      <c r="K713" s="24"/>
      <c r="L713" s="24"/>
      <c r="M713" s="24"/>
      <c r="N713" s="25"/>
      <c r="O713" s="195"/>
    </row>
    <row r="714" spans="1:16" ht="15.95" customHeight="1" x14ac:dyDescent="0.25">
      <c r="A714" s="121"/>
      <c r="B714" s="23"/>
      <c r="C714" s="59" t="s">
        <v>11</v>
      </c>
      <c r="D714" s="65">
        <v>44712</v>
      </c>
      <c r="E714" s="36"/>
      <c r="F714" s="483"/>
      <c r="G714" s="484"/>
      <c r="H714" s="638" t="s">
        <v>44</v>
      </c>
      <c r="I714" s="639"/>
      <c r="J714" s="639"/>
      <c r="K714" s="639"/>
      <c r="L714" s="639"/>
      <c r="M714" s="640"/>
      <c r="N714" s="25"/>
      <c r="O714" s="195"/>
    </row>
    <row r="715" spans="1:16" ht="15.95" customHeight="1" x14ac:dyDescent="0.25">
      <c r="A715" s="121"/>
      <c r="B715" s="23"/>
      <c r="C715" s="59" t="s">
        <v>12</v>
      </c>
      <c r="D715" s="65">
        <v>45443</v>
      </c>
      <c r="E715" s="36"/>
      <c r="F715" s="480"/>
      <c r="G715" s="484"/>
      <c r="H715" s="23"/>
      <c r="I715" s="24"/>
      <c r="J715" s="24"/>
      <c r="K715" s="24"/>
      <c r="L715" s="24"/>
      <c r="M715" s="25"/>
      <c r="N715" s="25"/>
      <c r="O715" s="195"/>
    </row>
    <row r="716" spans="1:16" ht="15.95" customHeight="1" x14ac:dyDescent="0.25">
      <c r="A716" s="121"/>
      <c r="B716" s="23"/>
      <c r="C716" s="59" t="s">
        <v>27</v>
      </c>
      <c r="D716" s="66">
        <v>25000000</v>
      </c>
      <c r="E716" s="41"/>
      <c r="F716" s="480"/>
      <c r="G716" s="484"/>
      <c r="H716" s="23"/>
      <c r="I716" s="24"/>
      <c r="J716" s="24"/>
      <c r="K716" s="24"/>
      <c r="L716" s="24"/>
      <c r="M716" s="25"/>
      <c r="N716" s="25"/>
      <c r="O716" s="195"/>
    </row>
    <row r="717" spans="1:16" ht="15.95" customHeight="1" x14ac:dyDescent="0.25">
      <c r="A717" s="121"/>
      <c r="B717" s="23"/>
      <c r="C717" s="59" t="s">
        <v>26</v>
      </c>
      <c r="D717" s="66">
        <v>6</v>
      </c>
      <c r="E717" s="36"/>
      <c r="F717" s="480"/>
      <c r="G717" s="484"/>
      <c r="H717" s="96"/>
      <c r="I717" s="35"/>
      <c r="J717" s="24"/>
      <c r="K717" s="24"/>
      <c r="L717" s="24"/>
      <c r="M717" s="25"/>
      <c r="N717" s="25"/>
      <c r="O717" s="195"/>
    </row>
    <row r="718" spans="1:16" ht="15.95" customHeight="1" x14ac:dyDescent="0.25">
      <c r="A718" s="121"/>
      <c r="B718" s="23"/>
      <c r="C718" s="59" t="s">
        <v>19</v>
      </c>
      <c r="D718" s="67" t="s">
        <v>20</v>
      </c>
      <c r="E718" s="43"/>
      <c r="F718" s="480"/>
      <c r="G718" s="484"/>
      <c r="H718" s="23"/>
      <c r="I718" s="24"/>
      <c r="J718" s="24"/>
      <c r="K718" s="24"/>
      <c r="L718" s="24"/>
      <c r="M718" s="25"/>
      <c r="N718" s="25"/>
      <c r="O718" s="195"/>
    </row>
    <row r="719" spans="1:16" ht="15.95" customHeight="1" x14ac:dyDescent="0.25">
      <c r="A719" s="121"/>
      <c r="B719" s="23"/>
      <c r="C719" s="59" t="s">
        <v>14</v>
      </c>
      <c r="D719" s="68">
        <v>3.5000000000000003E-2</v>
      </c>
      <c r="E719" s="43"/>
      <c r="F719" s="480"/>
      <c r="G719" s="484"/>
      <c r="H719" s="23"/>
      <c r="I719" s="24"/>
      <c r="J719" s="24"/>
      <c r="K719" s="24"/>
      <c r="L719" s="24"/>
      <c r="M719" s="25"/>
      <c r="N719" s="25"/>
      <c r="O719" s="195"/>
    </row>
    <row r="720" spans="1:16" ht="15.95" customHeight="1" x14ac:dyDescent="0.25">
      <c r="A720" s="121"/>
      <c r="B720" s="23"/>
      <c r="C720" s="59" t="s">
        <v>31</v>
      </c>
      <c r="D720" s="68"/>
      <c r="E720" s="43"/>
      <c r="F720" s="480"/>
      <c r="G720" s="484"/>
      <c r="H720" s="23"/>
      <c r="I720" s="24"/>
      <c r="J720" s="24"/>
      <c r="K720" s="24"/>
      <c r="L720" s="24"/>
      <c r="M720" s="25"/>
      <c r="N720" s="25"/>
      <c r="O720" s="195"/>
    </row>
    <row r="721" spans="1:17" ht="15.95" customHeight="1" x14ac:dyDescent="0.25">
      <c r="A721" s="121"/>
      <c r="B721" s="23"/>
      <c r="C721" s="59" t="s">
        <v>32</v>
      </c>
      <c r="D721" s="68"/>
      <c r="E721" s="44"/>
      <c r="F721" s="480"/>
      <c r="G721" s="484"/>
      <c r="H721" s="23"/>
      <c r="I721" s="24"/>
      <c r="J721" s="24"/>
      <c r="K721" s="24"/>
      <c r="L721" s="24"/>
      <c r="M721" s="25"/>
      <c r="N721" s="25"/>
      <c r="O721" s="195"/>
    </row>
    <row r="722" spans="1:17" ht="15.95" customHeight="1" x14ac:dyDescent="0.25">
      <c r="A722" s="121"/>
      <c r="B722" s="23"/>
      <c r="C722" s="59" t="s">
        <v>55</v>
      </c>
      <c r="D722" s="68">
        <v>0.15</v>
      </c>
      <c r="E722" s="24"/>
      <c r="F722" s="480"/>
      <c r="G722" s="485"/>
      <c r="H722" s="23"/>
      <c r="I722" s="24"/>
      <c r="J722" s="24"/>
      <c r="K722" s="24"/>
      <c r="L722" s="24"/>
      <c r="M722" s="25"/>
      <c r="N722" s="25"/>
      <c r="O722" s="195"/>
    </row>
    <row r="723" spans="1:17" ht="15.95" customHeight="1" x14ac:dyDescent="0.25">
      <c r="A723" s="121"/>
      <c r="B723" s="23"/>
      <c r="C723" s="59" t="s">
        <v>81</v>
      </c>
      <c r="D723" s="68">
        <v>0.3</v>
      </c>
      <c r="E723" s="24"/>
      <c r="F723" s="480"/>
      <c r="G723" s="485"/>
      <c r="H723" s="23"/>
      <c r="I723" s="24"/>
      <c r="J723" s="24"/>
      <c r="K723" s="24"/>
      <c r="L723" s="24"/>
      <c r="M723" s="25"/>
      <c r="N723" s="25"/>
      <c r="O723" s="195"/>
    </row>
    <row r="724" spans="1:17" ht="15.95" customHeight="1" x14ac:dyDescent="0.25">
      <c r="A724" s="121"/>
      <c r="B724" s="23"/>
      <c r="C724" s="59" t="s">
        <v>54</v>
      </c>
      <c r="D724" s="68">
        <v>0.2</v>
      </c>
      <c r="E724" s="24"/>
      <c r="F724" s="480"/>
      <c r="G724" s="485"/>
      <c r="H724" s="23"/>
      <c r="I724" s="24"/>
      <c r="J724" s="24"/>
      <c r="K724" s="24"/>
      <c r="L724" s="24"/>
      <c r="M724" s="25"/>
      <c r="N724" s="25"/>
      <c r="O724" s="195"/>
    </row>
    <row r="725" spans="1:17" ht="15.95" customHeight="1" x14ac:dyDescent="0.25">
      <c r="A725" s="121"/>
      <c r="B725" s="23"/>
      <c r="C725" s="60" t="s">
        <v>64</v>
      </c>
      <c r="D725" s="110">
        <v>0.35</v>
      </c>
      <c r="E725" s="24"/>
      <c r="F725" s="480"/>
      <c r="G725" s="485"/>
      <c r="H725" s="23"/>
      <c r="I725" s="24"/>
      <c r="J725" s="24"/>
      <c r="K725" s="24"/>
      <c r="L725" s="24"/>
      <c r="M725" s="25"/>
      <c r="N725" s="25"/>
      <c r="O725" s="195"/>
    </row>
    <row r="726" spans="1:17" ht="15.95" customHeight="1" x14ac:dyDescent="0.25">
      <c r="A726" s="121"/>
      <c r="B726" s="23"/>
      <c r="C726" s="24"/>
      <c r="D726" s="24"/>
      <c r="E726" s="24"/>
      <c r="F726" s="480"/>
      <c r="G726" s="485"/>
      <c r="H726" s="23"/>
      <c r="I726" s="24"/>
      <c r="J726" s="24"/>
      <c r="K726" s="24"/>
      <c r="L726" s="24"/>
      <c r="M726" s="25"/>
      <c r="N726" s="25"/>
      <c r="O726" s="195"/>
    </row>
    <row r="727" spans="1:17" ht="15.95" customHeight="1" x14ac:dyDescent="0.25">
      <c r="A727" s="121"/>
      <c r="B727" s="23"/>
      <c r="C727" s="24"/>
      <c r="D727" s="24"/>
      <c r="E727" s="24"/>
      <c r="F727" s="480"/>
      <c r="G727" s="485"/>
      <c r="H727" s="26"/>
      <c r="I727" s="27"/>
      <c r="J727" s="27"/>
      <c r="K727" s="27"/>
      <c r="L727" s="27"/>
      <c r="M727" s="28"/>
      <c r="N727" s="25"/>
      <c r="O727" s="194" t="str">
        <f>+D807</f>
        <v>ON Pyme CNV Garantizada</v>
      </c>
    </row>
    <row r="728" spans="1:17" ht="15.95" customHeight="1" x14ac:dyDescent="0.25">
      <c r="A728" s="121"/>
      <c r="B728" s="26"/>
      <c r="C728" s="27"/>
      <c r="D728" s="27"/>
      <c r="E728" s="27"/>
      <c r="F728" s="481"/>
      <c r="G728" s="486"/>
      <c r="H728" s="27"/>
      <c r="I728" s="27"/>
      <c r="J728" s="27"/>
      <c r="K728" s="27"/>
      <c r="L728" s="27"/>
      <c r="M728" s="27"/>
      <c r="N728" s="28"/>
      <c r="O728" s="195"/>
    </row>
    <row r="729" spans="1:17" ht="15.95" customHeight="1" x14ac:dyDescent="0.25">
      <c r="A729" s="121"/>
      <c r="B729" s="635" t="s">
        <v>118</v>
      </c>
      <c r="C729" s="636"/>
      <c r="D729" s="636"/>
      <c r="E729" s="636"/>
      <c r="F729" s="636"/>
      <c r="G729" s="636"/>
      <c r="H729" s="636"/>
      <c r="I729" s="636"/>
      <c r="J729" s="636"/>
      <c r="K729" s="636"/>
      <c r="L729" s="636"/>
      <c r="M729" s="636"/>
      <c r="N729" s="637"/>
      <c r="O729" s="194" t="str">
        <f>+IF(J805="vencida",IF(D807='Reporte - Oscuro'!$C$40,'Reporte - Oscuro'!$C$40&amp;" vencida",IF(D807='Reporte - Oscuro'!$C$41,'Reporte - Oscuro'!$C$41&amp;" vencida",IF(D807='Reporte - Oscuro'!$C$42,'Reporte - Oscuro'!$C$42&amp;" vencida",'Reporte - Oscuro'!$C$43&amp;" vencida"))),D807&amp;" vigente")</f>
        <v>ON Pyme CNV Garantizada vencida</v>
      </c>
    </row>
    <row r="730" spans="1:17" ht="15.95" customHeight="1" x14ac:dyDescent="0.25">
      <c r="A730" s="121"/>
      <c r="B730" s="23"/>
      <c r="C730" s="24"/>
      <c r="D730" s="24"/>
      <c r="E730" s="24"/>
      <c r="F730" s="483"/>
      <c r="G730" s="484"/>
      <c r="H730" s="31"/>
      <c r="I730" s="31"/>
      <c r="J730" s="24"/>
      <c r="K730" s="24"/>
      <c r="L730" s="24"/>
      <c r="M730" s="24"/>
      <c r="N730" s="25"/>
      <c r="O730" s="195"/>
    </row>
    <row r="731" spans="1:17" ht="15.95" customHeight="1" x14ac:dyDescent="0.25">
      <c r="A731" s="121"/>
      <c r="B731" s="23"/>
      <c r="C731" s="638" t="s">
        <v>37</v>
      </c>
      <c r="D731" s="639"/>
      <c r="E731" s="640"/>
      <c r="F731" s="483"/>
      <c r="G731" s="484"/>
      <c r="H731" s="641" t="s">
        <v>28</v>
      </c>
      <c r="I731" s="642"/>
      <c r="J731" s="39">
        <f>+$D$750-SUMIF($H$737:$H$742,"&lt;"&amp;$M$4,$K$737:$K$742)</f>
        <v>0</v>
      </c>
      <c r="K731" s="24"/>
      <c r="L731" s="24"/>
      <c r="M731" s="24"/>
      <c r="N731" s="25"/>
      <c r="O731" s="195"/>
    </row>
    <row r="732" spans="1:17" ht="20.100000000000001" customHeight="1" x14ac:dyDescent="0.25">
      <c r="A732" s="121"/>
      <c r="B732" s="23"/>
      <c r="C732" s="58"/>
      <c r="D732" s="664"/>
      <c r="E732" s="665"/>
      <c r="F732" s="483"/>
      <c r="G732" s="484"/>
      <c r="H732" s="645" t="s">
        <v>29</v>
      </c>
      <c r="I732" s="646"/>
      <c r="J732" s="40">
        <f>+$D$749</f>
        <v>44330</v>
      </c>
      <c r="K732" s="24"/>
      <c r="L732" s="24"/>
      <c r="M732" s="24"/>
      <c r="N732" s="25"/>
      <c r="O732" s="195"/>
    </row>
    <row r="733" spans="1:17" ht="15.95" customHeight="1" x14ac:dyDescent="0.25">
      <c r="A733" s="121"/>
      <c r="B733" s="23"/>
      <c r="C733" s="59" t="s">
        <v>25</v>
      </c>
      <c r="D733" s="658"/>
      <c r="E733" s="659"/>
      <c r="F733" s="483"/>
      <c r="G733" s="484"/>
      <c r="H733" s="649" t="s">
        <v>30</v>
      </c>
      <c r="I733" s="650"/>
      <c r="J733" s="42" t="str">
        <f t="array" ref="J733">+IF(H742&gt;=$M$4,MIN(IF($H$738:$H$742&gt;=$M$4,$H$738:$H$742,"")),"vencida")</f>
        <v>vencida</v>
      </c>
      <c r="K733" s="24"/>
      <c r="L733" s="24"/>
      <c r="M733" s="24"/>
      <c r="N733" s="25"/>
      <c r="O733" s="195"/>
    </row>
    <row r="734" spans="1:17" ht="15.95" customHeight="1" x14ac:dyDescent="0.25">
      <c r="A734" s="121"/>
      <c r="B734" s="23"/>
      <c r="C734" s="59" t="s">
        <v>6</v>
      </c>
      <c r="D734" s="658" t="s">
        <v>117</v>
      </c>
      <c r="E734" s="659"/>
      <c r="F734" s="483"/>
      <c r="G734" s="484"/>
      <c r="H734" s="24"/>
      <c r="I734" s="24"/>
      <c r="J734" s="24"/>
      <c r="K734" s="24"/>
      <c r="L734" s="24"/>
      <c r="M734" s="24"/>
      <c r="N734" s="25"/>
      <c r="O734" s="197">
        <f>+M810</f>
        <v>-19000000</v>
      </c>
      <c r="P734" s="197">
        <f>-M810</f>
        <v>19000000</v>
      </c>
      <c r="Q734" s="197"/>
    </row>
    <row r="735" spans="1:17" ht="15.95" customHeight="1" x14ac:dyDescent="0.25">
      <c r="A735" s="121"/>
      <c r="B735" s="23"/>
      <c r="C735" s="59" t="s">
        <v>8</v>
      </c>
      <c r="D735" s="658" t="s">
        <v>17</v>
      </c>
      <c r="E735" s="659"/>
      <c r="F735" s="483"/>
      <c r="G735" s="484"/>
      <c r="H735" s="651" t="s">
        <v>41</v>
      </c>
      <c r="I735" s="652"/>
      <c r="J735" s="652"/>
      <c r="K735" s="652"/>
      <c r="L735" s="653"/>
      <c r="M735" s="24"/>
      <c r="N735" s="25"/>
      <c r="O735" s="197">
        <f t="shared" ref="O735:O746" si="67">+M811+O734</f>
        <v>-14849925</v>
      </c>
      <c r="P735" s="197">
        <f t="shared" ref="P735:P746" si="68">+(M811/(1+$J$826)^((H811-$H$810)/365))/$P$734</f>
        <v>0.21842500000000004</v>
      </c>
      <c r="Q735" s="197">
        <f t="shared" ref="Q735:Q746" si="69">+P735*((H811-$H$810)/365)</f>
        <v>5.50550684931507E-2</v>
      </c>
    </row>
    <row r="736" spans="1:17" ht="15.95" customHeight="1" x14ac:dyDescent="0.25">
      <c r="A736" s="121"/>
      <c r="B736" s="23"/>
      <c r="C736" s="59" t="s">
        <v>33</v>
      </c>
      <c r="D736" s="73" t="s">
        <v>313</v>
      </c>
      <c r="E736" s="273">
        <v>0.5</v>
      </c>
      <c r="F736" s="483">
        <f>+E736*$J$731</f>
        <v>0</v>
      </c>
      <c r="G736" s="484"/>
      <c r="H736" s="81" t="s">
        <v>0</v>
      </c>
      <c r="I736" s="82" t="s">
        <v>2</v>
      </c>
      <c r="J736" s="82" t="s">
        <v>3</v>
      </c>
      <c r="K736" s="82" t="s">
        <v>4</v>
      </c>
      <c r="L736" s="83" t="s">
        <v>5</v>
      </c>
      <c r="M736" s="82" t="s">
        <v>44</v>
      </c>
      <c r="N736" s="25"/>
      <c r="O736" s="197">
        <f t="shared" si="67"/>
        <v>-10966236.3828125</v>
      </c>
      <c r="P736" s="197">
        <f t="shared" si="68"/>
        <v>0.20440466406249999</v>
      </c>
      <c r="Q736" s="197">
        <f t="shared" si="69"/>
        <v>0.10192232564212328</v>
      </c>
    </row>
    <row r="737" spans="1:17" ht="15.95" customHeight="1" x14ac:dyDescent="0.25">
      <c r="A737" s="121"/>
      <c r="B737" s="23"/>
      <c r="C737" s="59" t="s">
        <v>33</v>
      </c>
      <c r="D737" s="73" t="s">
        <v>319</v>
      </c>
      <c r="E737" s="273">
        <v>0.5</v>
      </c>
      <c r="F737" s="483">
        <f>+E737*$J$731</f>
        <v>0</v>
      </c>
      <c r="G737" s="484"/>
      <c r="H737" s="45"/>
      <c r="I737" s="46"/>
      <c r="J737" s="46"/>
      <c r="K737" s="46"/>
      <c r="L737" s="47"/>
      <c r="M737" s="23"/>
      <c r="N737" s="25"/>
      <c r="O737" s="197">
        <f t="shared" si="67"/>
        <v>-7200849.484375</v>
      </c>
      <c r="P737" s="197">
        <f t="shared" si="68"/>
        <v>0.19817825781250001</v>
      </c>
      <c r="Q737" s="197">
        <f t="shared" si="69"/>
        <v>0.14822647776113015</v>
      </c>
    </row>
    <row r="738" spans="1:17" ht="15.95" customHeight="1" x14ac:dyDescent="0.25">
      <c r="A738" s="121"/>
      <c r="B738" s="23"/>
      <c r="C738" s="59" t="s">
        <v>34</v>
      </c>
      <c r="D738" s="658" t="s">
        <v>48</v>
      </c>
      <c r="E738" s="659"/>
      <c r="F738" s="483"/>
      <c r="G738" s="484"/>
      <c r="H738" s="48">
        <f>+$D$748</f>
        <v>43599</v>
      </c>
      <c r="I738" s="70"/>
      <c r="J738" s="49"/>
      <c r="K738" s="49"/>
      <c r="L738" s="50">
        <f>+D750</f>
        <v>15000000</v>
      </c>
      <c r="M738" s="93">
        <f>-L738</f>
        <v>-15000000</v>
      </c>
      <c r="N738" s="25"/>
      <c r="O738" s="197">
        <f t="shared" si="67"/>
        <v>-3235954.2965277778</v>
      </c>
      <c r="P738" s="197">
        <f t="shared" si="68"/>
        <v>0.20867869409722223</v>
      </c>
      <c r="Q738" s="197">
        <f t="shared" si="69"/>
        <v>0.20867869409722223</v>
      </c>
    </row>
    <row r="739" spans="1:17" ht="15.95" customHeight="1" x14ac:dyDescent="0.25">
      <c r="A739" s="121"/>
      <c r="B739" s="23"/>
      <c r="C739" s="79" t="s">
        <v>38</v>
      </c>
      <c r="D739" s="75"/>
      <c r="E739" s="76"/>
      <c r="F739" s="483"/>
      <c r="G739" s="484"/>
      <c r="H739" s="51">
        <f>IF(DAY(H738)=DAY($H$738),IF(WEEKDAY(EDATE(H738,$D$751),3)&lt;5,EDATE(H738,$D$751),WORKDAY(EDATE(H738,$D$751),1)),IF(WEEKDAY(EDATE($H$738,$D$751*COUNT($H$738:H738)),3)&lt;5,EDATE($H$738,$D$751*COUNT($H$738:H738)),WORKDAY(EDATE($H$738,$D$751*COUNT($H$738:H738)),1)))</f>
        <v>43783</v>
      </c>
      <c r="I739" s="71" t="s">
        <v>13</v>
      </c>
      <c r="J739" s="52">
        <f>(IF(AND($D$754&lt;&gt;"",$D$754&gt;(AVERAGE(VLOOKUP(WORKDAY.INTL(H739,-7,1,),'Tasas-TC'!A:B,2,FALSE),VLOOKUP(WORKDAY.INTL(H738,-7,1,),'Tasas-TC'!A:B,2,FALSE))+$D$753)),$D$754,IF(AND($D$755&lt;&gt;"",$D$755&lt;(AVERAGE(VLOOKUP(WORKDAY.INTL(H739,-7,1,),'Tasas-TC'!A:B,2,FALSE),VLOOKUP(WORKDAY.INTL(H738,-7,1,),'Tasas-TC'!A:B,2,FALSE))+$D$753)),$D$755,(AVERAGE(VLOOKUP(WORKDAY.INTL(H739,-7,1,),'Tasas-TC'!A:B,2,FALSE),VLOOKUP(WORKDAY.INTL(H738,-7,1,),'Tasas-TC'!A:B,2,FALSE))+$D$753)))/360)*(H739-H738)*L738</f>
        <v>4437083.333333333</v>
      </c>
      <c r="K739" s="52">
        <f>+IF(OR(I739="A + C",I739="A"),$D$750*$D$756,0)</f>
        <v>3750000</v>
      </c>
      <c r="L739" s="53">
        <f>+L738-K739</f>
        <v>11250000</v>
      </c>
      <c r="M739" s="94">
        <f>+J739+K739</f>
        <v>8187083.333333333</v>
      </c>
      <c r="N739" s="25"/>
      <c r="O739" s="197">
        <f t="shared" si="67"/>
        <v>371904.12638888881</v>
      </c>
      <c r="P739" s="197">
        <f t="shared" si="68"/>
        <v>0.18988728541666666</v>
      </c>
      <c r="Q739" s="197">
        <f t="shared" si="69"/>
        <v>0.23878976440068495</v>
      </c>
    </row>
    <row r="740" spans="1:17" ht="15.95" customHeight="1" x14ac:dyDescent="0.25">
      <c r="A740" s="121"/>
      <c r="B740" s="23"/>
      <c r="C740" s="59"/>
      <c r="D740" s="73"/>
      <c r="E740" s="74"/>
      <c r="F740" s="483"/>
      <c r="G740" s="484"/>
      <c r="H740" s="51">
        <f>IF(DAY(H739)=DAY($H$738),IF(WEEKDAY(EDATE(H739,$D$751),3)&lt;5,EDATE(H739,$D$751),WORKDAY(EDATE(H739,$D$751),1)),IF(WEEKDAY(EDATE($H$738,$D$751*COUNT($H$738:H739)),3)&lt;5,EDATE($H$738,$D$751*COUNT($H$738:H739)),WORKDAY(EDATE($H$738,$D$751*COUNT($H$738:H739)),1)))</f>
        <v>43965</v>
      </c>
      <c r="I740" s="71" t="s">
        <v>13</v>
      </c>
      <c r="J740" s="52">
        <f>(IF(AND($D$754&lt;&gt;"",$D$754&gt;(AVERAGE(VLOOKUP(WORKDAY.INTL(H740,-7,1,),'Tasas-TC'!A:B,2,FALSE),VLOOKUP(WORKDAY.INTL(H739,-7,1,),'Tasas-TC'!A:B,2,FALSE))+$D$753)),$D$754,IF(AND($D$755&lt;&gt;"",$D$755&lt;(AVERAGE(VLOOKUP(WORKDAY.INTL(H740,-7,1,),'Tasas-TC'!A:B,2,FALSE),VLOOKUP(WORKDAY.INTL(H739,-7,1,),'Tasas-TC'!A:B,2,FALSE))+$D$753)),$D$755,(AVERAGE(VLOOKUP(WORKDAY.INTL(H740,-7,1,),'Tasas-TC'!A:B,2,FALSE),VLOOKUP(WORKDAY.INTL(H739,-7,1,),'Tasas-TC'!A:B,2,FALSE))+$D$753)))/360)*(H740-H739)*L739</f>
        <v>2374531.2500000005</v>
      </c>
      <c r="K740" s="52">
        <f>+IF(OR(I740="A + C",I740="A"),$D$750*$D$756,0)</f>
        <v>3750000</v>
      </c>
      <c r="L740" s="53">
        <f>+L739-K740</f>
        <v>7500000</v>
      </c>
      <c r="M740" s="94">
        <f>+J740+K740</f>
        <v>6124531.25</v>
      </c>
      <c r="N740" s="25"/>
      <c r="O740" s="197">
        <f t="shared" si="67"/>
        <v>3332169.1172743058</v>
      </c>
      <c r="P740" s="197">
        <f t="shared" si="68"/>
        <v>0.15580342057291668</v>
      </c>
      <c r="Q740" s="197">
        <f t="shared" si="69"/>
        <v>0.23477227757562788</v>
      </c>
    </row>
    <row r="741" spans="1:17" ht="15.95" customHeight="1" x14ac:dyDescent="0.25">
      <c r="A741" s="121"/>
      <c r="B741" s="23"/>
      <c r="C741" s="60"/>
      <c r="D741" s="77"/>
      <c r="E741" s="78"/>
      <c r="F741" s="483"/>
      <c r="G741" s="484"/>
      <c r="H741" s="51">
        <f>IF(DAY(H740)=DAY($H$738),IF(WEEKDAY(EDATE(H740,$D$751),3)&lt;5,EDATE(H740,$D$751),WORKDAY(EDATE(H740,$D$751),1)),IF(WEEKDAY(EDATE($H$738,$D$751*COUNT($H$738:H740)),3)&lt;5,EDATE($H$738,$D$751*COUNT($H$738:H740)),WORKDAY(EDATE($H$738,$D$751*COUNT($H$738:H740)),1)))</f>
        <v>44151</v>
      </c>
      <c r="I741" s="71" t="s">
        <v>13</v>
      </c>
      <c r="J741" s="52">
        <f>(IF(AND($D$754&lt;&gt;"",$D$754&gt;(AVERAGE(VLOOKUP(WORKDAY.INTL(H741,-7,1,),'Tasas-TC'!A:B,2,FALSE),VLOOKUP(WORKDAY.INTL(H740,-7,1,),'Tasas-TC'!A:B,2,FALSE))+$D$753)),$D$754,IF(AND($D$755&lt;&gt;"",$D$755&lt;(AVERAGE(VLOOKUP(WORKDAY.INTL(H741,-7,1,),'Tasas-TC'!A:B,2,FALSE),VLOOKUP(WORKDAY.INTL(H740,-7,1,),'Tasas-TC'!A:B,2,FALSE))+$D$753)),$D$755,(AVERAGE(VLOOKUP(WORKDAY.INTL(H741,-7,1,),'Tasas-TC'!A:B,2,FALSE),VLOOKUP(WORKDAY.INTL(H740,-7,1,),'Tasas-TC'!A:B,2,FALSE))+$D$753)))/360)*(H741-H740)*L740</f>
        <v>1311445.3125</v>
      </c>
      <c r="K741" s="52">
        <f>+IF(OR(I741="A + C",I741="A"),$D$750*$D$756,0)</f>
        <v>3750000</v>
      </c>
      <c r="L741" s="53">
        <f>+L740-K741</f>
        <v>3750000</v>
      </c>
      <c r="M741" s="94">
        <f>+J741+K741</f>
        <v>5061445.3125</v>
      </c>
      <c r="N741" s="25"/>
      <c r="O741" s="197">
        <f t="shared" si="67"/>
        <v>5869803.0214409716</v>
      </c>
      <c r="P741" s="197">
        <f t="shared" si="68"/>
        <v>0.13355967916666664</v>
      </c>
      <c r="Q741" s="197">
        <f t="shared" si="69"/>
        <v>0.23455275163242004</v>
      </c>
    </row>
    <row r="742" spans="1:17" ht="15.95" customHeight="1" x14ac:dyDescent="0.25">
      <c r="A742" s="121"/>
      <c r="B742" s="32"/>
      <c r="C742" s="60"/>
      <c r="D742" s="471" t="str">
        <f>+B729</f>
        <v>Canepa Kopec y Asociados I</v>
      </c>
      <c r="E742" s="472"/>
      <c r="F742" s="483"/>
      <c r="G742" s="484">
        <f>+J731</f>
        <v>0</v>
      </c>
      <c r="H742" s="51">
        <f>IF(DAY(H741)=DAY($H$738),IF(WEEKDAY(EDATE(H741,$D$751),3)&lt;5,EDATE(H741,$D$751),WORKDAY(EDATE(H741,$D$751),1)),IF(WEEKDAY(EDATE($H$738,$D$751*COUNT($H$738:H741)),3)&lt;5,EDATE($H$738,$D$751*COUNT($H$738:H741)),WORKDAY(EDATE($H$738,$D$751*COUNT($H$738:H741)),1)))</f>
        <v>44330</v>
      </c>
      <c r="I742" s="71" t="s">
        <v>13</v>
      </c>
      <c r="J742" s="52">
        <f>(IF(AND($D$754&lt;&gt;"",$D$754&gt;(AVERAGE(VLOOKUP(WORKDAY.INTL(H742,-7,1,),'Tasas-TC'!A:B,2,FALSE),VLOOKUP(WORKDAY.INTL(H741,-7,1,),'Tasas-TC'!A:B,2,FALSE))+$D$753)),$D$754,IF(AND($D$755&lt;&gt;"",$D$755&lt;(AVERAGE(VLOOKUP(WORKDAY.INTL(H742,-7,1,),'Tasas-TC'!A:B,2,FALSE),VLOOKUP(WORKDAY.INTL(H741,-7,1,),'Tasas-TC'!A:B,2,FALSE))+$D$753)),$D$755,(AVERAGE(VLOOKUP(WORKDAY.INTL(H742,-7,1,),'Tasas-TC'!A:B,2,FALSE),VLOOKUP(WORKDAY.INTL(H741,-7,1,),'Tasas-TC'!A:B,2,FALSE))+$D$753)))/360)*(H742-H741)*L741</f>
        <v>761565.75520833337</v>
      </c>
      <c r="K742" s="52">
        <f>+IF(OR(I742="A + C",I742="A"),$D$750*$D$756,0)</f>
        <v>3750000</v>
      </c>
      <c r="L742" s="53">
        <f>+L741-K742</f>
        <v>0</v>
      </c>
      <c r="M742" s="94">
        <f>+J742+K742</f>
        <v>4511565.755208333</v>
      </c>
      <c r="N742" s="25"/>
      <c r="O742" s="197">
        <f t="shared" si="67"/>
        <v>8218374.3776909709</v>
      </c>
      <c r="P742" s="197">
        <f t="shared" si="68"/>
        <v>0.12360901874999998</v>
      </c>
      <c r="Q742" s="197">
        <f t="shared" si="69"/>
        <v>0.2478953471917808</v>
      </c>
    </row>
    <row r="743" spans="1:17" ht="15.95" customHeight="1" x14ac:dyDescent="0.25">
      <c r="A743" s="121"/>
      <c r="B743" s="23"/>
      <c r="D743" s="271"/>
      <c r="E743" s="272"/>
      <c r="F743" s="483"/>
      <c r="G743" s="484"/>
      <c r="H743" s="54"/>
      <c r="I743" s="61"/>
      <c r="J743" s="55"/>
      <c r="K743" s="56"/>
      <c r="L743" s="57"/>
      <c r="M743" s="109"/>
      <c r="N743" s="25"/>
      <c r="O743" s="197">
        <f t="shared" si="67"/>
        <v>10472999.798524305</v>
      </c>
      <c r="P743" s="197">
        <f t="shared" si="68"/>
        <v>0.11866449583333334</v>
      </c>
      <c r="Q743" s="197">
        <f t="shared" si="69"/>
        <v>0.26756405498858449</v>
      </c>
    </row>
    <row r="744" spans="1:17" ht="15.95" customHeight="1" x14ac:dyDescent="0.25">
      <c r="A744" s="121"/>
      <c r="B744" s="23"/>
      <c r="C744" s="638" t="s">
        <v>36</v>
      </c>
      <c r="D744" s="640"/>
      <c r="E744" s="36"/>
      <c r="F744" s="483"/>
      <c r="G744" s="484"/>
      <c r="H744" s="35"/>
      <c r="I744" s="35"/>
      <c r="J744" s="35"/>
      <c r="K744" s="109"/>
      <c r="L744" s="109"/>
      <c r="M744" s="109"/>
      <c r="N744" s="25"/>
      <c r="O744" s="197">
        <f t="shared" si="67"/>
        <v>12585390.655295139</v>
      </c>
      <c r="P744" s="197">
        <f t="shared" si="68"/>
        <v>0.11117846614583334</v>
      </c>
      <c r="Q744" s="197">
        <f t="shared" si="69"/>
        <v>0.2784030631706621</v>
      </c>
    </row>
    <row r="745" spans="1:17" ht="15.95" customHeight="1" x14ac:dyDescent="0.25">
      <c r="A745" s="121"/>
      <c r="B745" s="23"/>
      <c r="C745" s="59"/>
      <c r="D745" s="62"/>
      <c r="E745" s="36"/>
      <c r="F745" s="483"/>
      <c r="G745" s="484"/>
      <c r="H745" s="656" t="s">
        <v>43</v>
      </c>
      <c r="I745" s="656"/>
      <c r="J745" s="92">
        <v>0</v>
      </c>
      <c r="K745" s="92"/>
      <c r="L745" s="24"/>
      <c r="M745" s="24"/>
      <c r="N745" s="25"/>
      <c r="O745" s="197">
        <f t="shared" si="67"/>
        <v>14522502.636197917</v>
      </c>
      <c r="P745" s="197">
        <f t="shared" si="68"/>
        <v>0.10195326215277778</v>
      </c>
      <c r="Q745" s="197">
        <f t="shared" si="69"/>
        <v>0.2807206259275114</v>
      </c>
    </row>
    <row r="746" spans="1:17" ht="15.95" customHeight="1" x14ac:dyDescent="0.25">
      <c r="A746" s="121"/>
      <c r="B746" s="23"/>
      <c r="C746" s="59" t="s">
        <v>9</v>
      </c>
      <c r="D746" s="98" t="s">
        <v>18</v>
      </c>
      <c r="E746" s="36"/>
      <c r="F746" s="483"/>
      <c r="G746" s="484"/>
      <c r="H746" s="657"/>
      <c r="I746" s="657"/>
      <c r="J746" s="392"/>
      <c r="K746" s="24"/>
      <c r="L746" s="33"/>
      <c r="M746" s="33"/>
      <c r="N746" s="25"/>
      <c r="O746" s="197">
        <f t="shared" si="67"/>
        <v>16290307.449479166</v>
      </c>
      <c r="P746" s="197">
        <f t="shared" si="68"/>
        <v>9.3042358593749999E-2</v>
      </c>
      <c r="Q746" s="197">
        <f t="shared" si="69"/>
        <v>0.27938198635273975</v>
      </c>
    </row>
    <row r="747" spans="1:17" ht="15.95" customHeight="1" x14ac:dyDescent="0.25">
      <c r="A747" s="121"/>
      <c r="B747" s="23"/>
      <c r="C747" s="59" t="s">
        <v>10</v>
      </c>
      <c r="D747" s="65">
        <v>43595</v>
      </c>
      <c r="E747" s="36"/>
      <c r="F747" s="483"/>
      <c r="G747" s="484"/>
      <c r="H747" s="24"/>
      <c r="I747" s="24"/>
      <c r="J747" s="24"/>
      <c r="K747" s="24"/>
      <c r="L747" s="24"/>
      <c r="M747" s="24"/>
      <c r="N747" s="25"/>
      <c r="O747" s="195"/>
    </row>
    <row r="748" spans="1:17" ht="15.95" customHeight="1" x14ac:dyDescent="0.25">
      <c r="A748" s="121"/>
      <c r="B748" s="23"/>
      <c r="C748" s="59" t="s">
        <v>11</v>
      </c>
      <c r="D748" s="65">
        <v>43599</v>
      </c>
      <c r="E748" s="36"/>
      <c r="F748" s="483"/>
      <c r="G748" s="484"/>
      <c r="H748" s="638" t="s">
        <v>44</v>
      </c>
      <c r="I748" s="639"/>
      <c r="J748" s="639"/>
      <c r="K748" s="639"/>
      <c r="L748" s="639"/>
      <c r="M748" s="640"/>
      <c r="N748" s="25"/>
      <c r="O748" s="195"/>
    </row>
    <row r="749" spans="1:17" ht="15.95" customHeight="1" x14ac:dyDescent="0.25">
      <c r="A749" s="121"/>
      <c r="B749" s="23"/>
      <c r="C749" s="59" t="s">
        <v>12</v>
      </c>
      <c r="D749" s="65">
        <v>44330</v>
      </c>
      <c r="E749" s="36"/>
      <c r="F749" s="480"/>
      <c r="G749" s="484"/>
      <c r="H749" s="23"/>
      <c r="I749" s="24"/>
      <c r="J749" s="24"/>
      <c r="K749" s="24"/>
      <c r="L749" s="24"/>
      <c r="M749" s="25"/>
      <c r="N749" s="25"/>
      <c r="O749" s="195"/>
    </row>
    <row r="750" spans="1:17" ht="15.95" customHeight="1" x14ac:dyDescent="0.25">
      <c r="A750" s="121"/>
      <c r="B750" s="23"/>
      <c r="C750" s="59" t="s">
        <v>27</v>
      </c>
      <c r="D750" s="66">
        <v>15000000</v>
      </c>
      <c r="E750" s="41"/>
      <c r="F750" s="480"/>
      <c r="G750" s="484"/>
      <c r="H750" s="23"/>
      <c r="I750" s="24"/>
      <c r="J750" s="24"/>
      <c r="K750" s="24"/>
      <c r="L750" s="24"/>
      <c r="M750" s="25"/>
      <c r="N750" s="25"/>
      <c r="O750" s="195"/>
    </row>
    <row r="751" spans="1:17" ht="15.95" customHeight="1" x14ac:dyDescent="0.25">
      <c r="A751" s="121"/>
      <c r="B751" s="23"/>
      <c r="C751" s="59" t="s">
        <v>26</v>
      </c>
      <c r="D751" s="66">
        <v>6</v>
      </c>
      <c r="E751" s="36"/>
      <c r="F751" s="480"/>
      <c r="G751" s="484"/>
      <c r="H751" s="96"/>
      <c r="I751" s="35"/>
      <c r="J751" s="24"/>
      <c r="K751" s="24"/>
      <c r="L751" s="24"/>
      <c r="M751" s="25"/>
      <c r="N751" s="25"/>
      <c r="O751" s="195"/>
    </row>
    <row r="752" spans="1:17" ht="15.95" customHeight="1" x14ac:dyDescent="0.25">
      <c r="A752" s="121"/>
      <c r="B752" s="23"/>
      <c r="C752" s="59" t="s">
        <v>19</v>
      </c>
      <c r="D752" s="67" t="s">
        <v>20</v>
      </c>
      <c r="E752" s="43"/>
      <c r="F752" s="480"/>
      <c r="G752" s="484"/>
      <c r="H752" s="23"/>
      <c r="I752" s="24"/>
      <c r="J752" s="24"/>
      <c r="K752" s="24"/>
      <c r="L752" s="24"/>
      <c r="M752" s="25"/>
      <c r="N752" s="25"/>
      <c r="O752" s="195"/>
    </row>
    <row r="753" spans="1:15" ht="15.95" customHeight="1" x14ac:dyDescent="0.25">
      <c r="A753" s="121"/>
      <c r="B753" s="23"/>
      <c r="C753" s="59" t="s">
        <v>14</v>
      </c>
      <c r="D753" s="68">
        <v>0.08</v>
      </c>
      <c r="E753" s="43"/>
      <c r="F753" s="480"/>
      <c r="G753" s="484"/>
      <c r="H753" s="23"/>
      <c r="I753" s="24"/>
      <c r="J753" s="24"/>
      <c r="K753" s="24"/>
      <c r="L753" s="24"/>
      <c r="M753" s="25"/>
      <c r="N753" s="25"/>
      <c r="O753" s="195"/>
    </row>
    <row r="754" spans="1:15" ht="15.95" customHeight="1" x14ac:dyDescent="0.25">
      <c r="A754" s="121"/>
      <c r="B754" s="23"/>
      <c r="C754" s="59" t="s">
        <v>31</v>
      </c>
      <c r="D754" s="68"/>
      <c r="E754" s="43"/>
      <c r="F754" s="480"/>
      <c r="G754" s="484"/>
      <c r="H754" s="23"/>
      <c r="I754" s="24"/>
      <c r="J754" s="24"/>
      <c r="K754" s="24"/>
      <c r="L754" s="24"/>
      <c r="M754" s="25"/>
      <c r="N754" s="25"/>
      <c r="O754" s="195"/>
    </row>
    <row r="755" spans="1:15" ht="15.95" customHeight="1" x14ac:dyDescent="0.25">
      <c r="A755" s="121"/>
      <c r="B755" s="23"/>
      <c r="C755" s="59" t="s">
        <v>32</v>
      </c>
      <c r="D755" s="68"/>
      <c r="E755" s="44"/>
      <c r="F755" s="480"/>
      <c r="G755" s="484"/>
      <c r="H755" s="23"/>
      <c r="I755" s="24"/>
      <c r="J755" s="24"/>
      <c r="K755" s="24"/>
      <c r="L755" s="24"/>
      <c r="M755" s="25"/>
      <c r="N755" s="25"/>
      <c r="O755" s="195"/>
    </row>
    <row r="756" spans="1:15" ht="15.95" customHeight="1" x14ac:dyDescent="0.25">
      <c r="A756" s="121"/>
      <c r="B756" s="23"/>
      <c r="C756" s="59" t="s">
        <v>64</v>
      </c>
      <c r="D756" s="68">
        <v>0.25</v>
      </c>
      <c r="E756" s="24"/>
      <c r="F756" s="480"/>
      <c r="G756" s="485"/>
      <c r="H756" s="23"/>
      <c r="I756" s="24"/>
      <c r="J756" s="24"/>
      <c r="K756" s="24"/>
      <c r="L756" s="24"/>
      <c r="M756" s="25"/>
      <c r="N756" s="25"/>
      <c r="O756" s="195"/>
    </row>
    <row r="757" spans="1:15" ht="15.95" customHeight="1" x14ac:dyDescent="0.25">
      <c r="A757" s="121"/>
      <c r="B757" s="23"/>
      <c r="C757" s="60"/>
      <c r="D757" s="119"/>
      <c r="E757" s="24"/>
      <c r="F757" s="480"/>
      <c r="G757" s="485"/>
      <c r="H757" s="23"/>
      <c r="I757" s="24"/>
      <c r="J757" s="24"/>
      <c r="K757" s="24"/>
      <c r="L757" s="24"/>
      <c r="M757" s="25"/>
      <c r="N757" s="25"/>
      <c r="O757" s="195"/>
    </row>
    <row r="758" spans="1:15" ht="15.95" customHeight="1" x14ac:dyDescent="0.25">
      <c r="A758" s="121"/>
      <c r="B758" s="23"/>
      <c r="C758" s="24"/>
      <c r="D758" s="24"/>
      <c r="E758" s="24"/>
      <c r="F758" s="480"/>
      <c r="G758" s="485"/>
      <c r="H758" s="23"/>
      <c r="I758" s="24"/>
      <c r="J758" s="24"/>
      <c r="K758" s="24"/>
      <c r="L758" s="24"/>
      <c r="M758" s="25"/>
      <c r="N758" s="25"/>
      <c r="O758" s="195"/>
    </row>
    <row r="759" spans="1:15" ht="15.95" customHeight="1" x14ac:dyDescent="0.25">
      <c r="A759" s="121"/>
      <c r="B759" s="23"/>
      <c r="C759" s="24"/>
      <c r="D759" s="24"/>
      <c r="E759" s="24"/>
      <c r="F759" s="480"/>
      <c r="G759" s="485"/>
      <c r="H759" s="23"/>
      <c r="I759" s="24"/>
      <c r="J759" s="24"/>
      <c r="K759" s="24"/>
      <c r="L759" s="24"/>
      <c r="M759" s="25"/>
      <c r="N759" s="25"/>
      <c r="O759" s="195"/>
    </row>
    <row r="760" spans="1:15" ht="15.95" customHeight="1" x14ac:dyDescent="0.25">
      <c r="A760" s="121"/>
      <c r="B760" s="23"/>
      <c r="C760" s="24"/>
      <c r="D760" s="24"/>
      <c r="E760" s="24"/>
      <c r="F760" s="480"/>
      <c r="G760" s="485"/>
      <c r="H760" s="23"/>
      <c r="I760" s="24"/>
      <c r="J760" s="24"/>
      <c r="K760" s="24"/>
      <c r="L760" s="24"/>
      <c r="M760" s="25"/>
      <c r="N760" s="25"/>
      <c r="O760" s="195"/>
    </row>
    <row r="761" spans="1:15" ht="15.95" customHeight="1" x14ac:dyDescent="0.25">
      <c r="A761" s="121"/>
      <c r="B761" s="23"/>
      <c r="C761" s="24"/>
      <c r="D761" s="24"/>
      <c r="E761" s="24"/>
      <c r="F761" s="480"/>
      <c r="G761" s="485"/>
      <c r="H761" s="26"/>
      <c r="I761" s="27"/>
      <c r="J761" s="27"/>
      <c r="K761" s="27"/>
      <c r="L761" s="27"/>
      <c r="M761" s="28"/>
      <c r="N761" s="25"/>
      <c r="O761" s="195"/>
    </row>
    <row r="762" spans="1:15" ht="15.95" customHeight="1" x14ac:dyDescent="0.25">
      <c r="A762" s="121"/>
      <c r="B762" s="26"/>
      <c r="C762" s="27"/>
      <c r="D762" s="27"/>
      <c r="E762" s="27"/>
      <c r="F762" s="481"/>
      <c r="G762" s="486"/>
      <c r="H762" s="27"/>
      <c r="I762" s="27"/>
      <c r="J762" s="27"/>
      <c r="K762" s="27"/>
      <c r="L762" s="27"/>
      <c r="M762" s="27"/>
      <c r="N762" s="28"/>
      <c r="O762" s="195"/>
    </row>
    <row r="763" spans="1:15" ht="15.95" customHeight="1" x14ac:dyDescent="0.25">
      <c r="A763" s="121"/>
      <c r="B763" s="23"/>
      <c r="C763" s="24"/>
      <c r="D763" s="24"/>
      <c r="E763" s="24"/>
      <c r="F763" s="480"/>
      <c r="G763" s="480"/>
      <c r="H763" s="24"/>
      <c r="I763" s="24"/>
      <c r="J763" s="24"/>
      <c r="K763" s="24"/>
      <c r="L763" s="24"/>
      <c r="M763" s="24"/>
      <c r="N763" s="25"/>
      <c r="O763" s="195"/>
    </row>
    <row r="764" spans="1:15" ht="15.95" customHeight="1" x14ac:dyDescent="0.25">
      <c r="A764" s="121"/>
      <c r="B764" s="661" t="s">
        <v>107</v>
      </c>
      <c r="C764" s="662"/>
      <c r="D764" s="662"/>
      <c r="E764" s="662"/>
      <c r="F764" s="662"/>
      <c r="G764" s="662"/>
      <c r="H764" s="662"/>
      <c r="I764" s="662"/>
      <c r="J764" s="662"/>
      <c r="K764" s="662"/>
      <c r="L764" s="662"/>
      <c r="M764" s="662"/>
      <c r="N764" s="663"/>
      <c r="O764" s="195"/>
    </row>
    <row r="765" spans="1:15" ht="15.95" customHeight="1" x14ac:dyDescent="0.25">
      <c r="A765" s="121"/>
      <c r="B765" s="23"/>
      <c r="C765" s="24"/>
      <c r="D765" s="24"/>
      <c r="E765" s="24"/>
      <c r="F765" s="483"/>
      <c r="G765" s="484"/>
      <c r="H765" s="31"/>
      <c r="I765" s="31"/>
      <c r="J765" s="24"/>
      <c r="K765" s="24"/>
      <c r="L765" s="24"/>
      <c r="M765" s="24"/>
      <c r="N765" s="25"/>
      <c r="O765" s="195"/>
    </row>
    <row r="766" spans="1:15" ht="15.95" customHeight="1" x14ac:dyDescent="0.25">
      <c r="A766" s="121"/>
      <c r="B766" s="23"/>
      <c r="C766" s="638" t="s">
        <v>37</v>
      </c>
      <c r="D766" s="639"/>
      <c r="E766" s="640"/>
      <c r="F766" s="483"/>
      <c r="G766" s="484"/>
      <c r="H766" s="641" t="s">
        <v>28</v>
      </c>
      <c r="I766" s="642"/>
      <c r="J766" s="39">
        <f>+$D$784-SUMIF($H$772:$H$780,"&lt;"&amp;$M$4,$K$772:$K$780)</f>
        <v>0</v>
      </c>
      <c r="K766" s="24"/>
      <c r="L766" s="24"/>
      <c r="M766" s="24"/>
      <c r="N766" s="25"/>
      <c r="O766" s="195"/>
    </row>
    <row r="767" spans="1:15" ht="15.95" customHeight="1" x14ac:dyDescent="0.25">
      <c r="A767" s="121"/>
      <c r="B767" s="23"/>
      <c r="C767" s="58"/>
      <c r="D767" s="643"/>
      <c r="E767" s="644"/>
      <c r="F767" s="483"/>
      <c r="G767" s="484"/>
      <c r="H767" s="645" t="s">
        <v>29</v>
      </c>
      <c r="I767" s="646"/>
      <c r="J767" s="40">
        <f>+$D$783</f>
        <v>44318</v>
      </c>
      <c r="K767" s="24"/>
      <c r="L767" s="24"/>
      <c r="M767" s="24"/>
      <c r="N767" s="25"/>
      <c r="O767" s="195"/>
    </row>
    <row r="768" spans="1:15" ht="15.95" customHeight="1" x14ac:dyDescent="0.25">
      <c r="A768" s="121"/>
      <c r="B768" s="23"/>
      <c r="C768" s="59" t="s">
        <v>25</v>
      </c>
      <c r="D768" s="647"/>
      <c r="E768" s="648"/>
      <c r="F768" s="483"/>
      <c r="G768" s="484"/>
      <c r="H768" s="649" t="s">
        <v>30</v>
      </c>
      <c r="I768" s="650"/>
      <c r="J768" s="42" t="str">
        <f t="array" ref="J768">+IF(H779&gt;=$M$4,MIN(IF($H$772:$H$780&gt;=$M$4,$H$772:$H$780,"")),"vencida")</f>
        <v>vencida</v>
      </c>
      <c r="K768" s="24"/>
      <c r="L768" s="24"/>
      <c r="M768" s="24"/>
      <c r="N768" s="25"/>
      <c r="O768" s="195"/>
    </row>
    <row r="769" spans="1:17" ht="15.95" customHeight="1" x14ac:dyDescent="0.25">
      <c r="A769" s="121"/>
      <c r="B769" s="23"/>
      <c r="C769" s="59" t="s">
        <v>6</v>
      </c>
      <c r="D769" s="647" t="s">
        <v>108</v>
      </c>
      <c r="E769" s="648"/>
      <c r="F769" s="483"/>
      <c r="G769" s="484"/>
      <c r="H769" s="24"/>
      <c r="I769" s="24"/>
      <c r="J769" s="24"/>
      <c r="K769" s="24"/>
      <c r="L769" s="24"/>
      <c r="M769" s="24"/>
      <c r="N769" s="25"/>
      <c r="O769" s="195"/>
    </row>
    <row r="770" spans="1:17" ht="20.100000000000001" customHeight="1" x14ac:dyDescent="0.25">
      <c r="A770" s="121"/>
      <c r="B770" s="23"/>
      <c r="C770" s="59" t="s">
        <v>8</v>
      </c>
      <c r="D770" s="647" t="s">
        <v>17</v>
      </c>
      <c r="E770" s="648"/>
      <c r="F770" s="483"/>
      <c r="G770" s="484"/>
      <c r="H770" s="651" t="s">
        <v>41</v>
      </c>
      <c r="I770" s="652"/>
      <c r="J770" s="652"/>
      <c r="K770" s="652"/>
      <c r="L770" s="653"/>
      <c r="M770" s="24"/>
      <c r="N770" s="25"/>
      <c r="O770" s="194" t="str">
        <f>+D850</f>
        <v>ON Pyme CNV Garantizada</v>
      </c>
    </row>
    <row r="771" spans="1:17" ht="15.95" customHeight="1" x14ac:dyDescent="0.25">
      <c r="A771" s="121"/>
      <c r="B771" s="23"/>
      <c r="C771" s="59" t="s">
        <v>33</v>
      </c>
      <c r="D771" s="73" t="s">
        <v>309</v>
      </c>
      <c r="E771" s="273">
        <v>1</v>
      </c>
      <c r="F771" s="483">
        <f>+E771*J766</f>
        <v>0</v>
      </c>
      <c r="G771" s="484"/>
      <c r="H771" s="81" t="s">
        <v>0</v>
      </c>
      <c r="I771" s="82" t="s">
        <v>2</v>
      </c>
      <c r="J771" s="82" t="s">
        <v>3</v>
      </c>
      <c r="K771" s="82" t="s">
        <v>4</v>
      </c>
      <c r="L771" s="83" t="s">
        <v>5</v>
      </c>
      <c r="M771" s="82" t="s">
        <v>44</v>
      </c>
      <c r="N771" s="25"/>
      <c r="O771" s="195"/>
    </row>
    <row r="772" spans="1:17" ht="15.95" customHeight="1" x14ac:dyDescent="0.25">
      <c r="A772" s="121"/>
      <c r="B772" s="23"/>
      <c r="C772" s="59" t="s">
        <v>34</v>
      </c>
      <c r="D772" s="654" t="s">
        <v>48</v>
      </c>
      <c r="E772" s="655"/>
      <c r="F772" s="483"/>
      <c r="G772" s="484"/>
      <c r="H772" s="45"/>
      <c r="I772" s="46"/>
      <c r="J772" s="46"/>
      <c r="K772" s="46"/>
      <c r="L772" s="47"/>
      <c r="M772" s="23"/>
      <c r="N772" s="25"/>
      <c r="O772" s="194" t="str">
        <f>+IF(J848="vencida",IF(D850='Reporte - Oscuro'!$C$40,'Reporte - Oscuro'!$C$40&amp;" vencida",IF(D850='Reporte - Oscuro'!$C$41,'Reporte - Oscuro'!$C$41&amp;" vencida",IF(D850='Reporte - Oscuro'!$C$42,'Reporte - Oscuro'!$C$42&amp;" vencida",'Reporte - Oscuro'!$C$43&amp;" vencida"))),D850&amp;" vigente")</f>
        <v>ON Pyme CNV Garantizada vencida</v>
      </c>
    </row>
    <row r="773" spans="1:17" ht="15.95" customHeight="1" x14ac:dyDescent="0.25">
      <c r="A773" s="121"/>
      <c r="B773" s="23"/>
      <c r="C773" s="79" t="s">
        <v>38</v>
      </c>
      <c r="D773" s="75"/>
      <c r="E773" s="76"/>
      <c r="F773" s="483"/>
      <c r="G773" s="484"/>
      <c r="H773" s="48">
        <f>+$D$782</f>
        <v>43222</v>
      </c>
      <c r="I773" s="70"/>
      <c r="J773" s="49"/>
      <c r="K773" s="49"/>
      <c r="L773" s="50">
        <f>+D784</f>
        <v>20000000</v>
      </c>
      <c r="M773" s="93">
        <f>-L773</f>
        <v>-20000000</v>
      </c>
      <c r="N773" s="25"/>
      <c r="O773" s="195"/>
    </row>
    <row r="774" spans="1:17" ht="15.95" customHeight="1" x14ac:dyDescent="0.25">
      <c r="A774" s="121"/>
      <c r="B774" s="23"/>
      <c r="C774" s="59"/>
      <c r="D774" s="73"/>
      <c r="E774" s="74"/>
      <c r="F774" s="483"/>
      <c r="G774" s="484"/>
      <c r="H774" s="51">
        <f>IF(DAY(H773)=DAY($H$773),IF(WEEKDAY(EDATE(H773,$D$785),3)&lt;5,EDATE(H773,$D$785),WORKDAY(EDATE(H773,$D$785),1)),IF(WEEKDAY(EDATE($H$773,$D$785*COUNT($H$773:H773)),3)&lt;5,EDATE($H$773,$D$785*COUNT($H$773:H773)),WORKDAY(EDATE($H$773,$D$785*COUNT($H$773:H773)),1)))</f>
        <v>43406</v>
      </c>
      <c r="I774" s="71" t="s">
        <v>7</v>
      </c>
      <c r="J774" s="52">
        <f>(IF(AND($D$788&lt;&gt;"",$D$788&gt;(AVERAGE(VLOOKUP(WORKDAY.INTL(H774,-7,1,),'Tasas-TC'!A:B,2,FALSE),VLOOKUP(WORKDAY.INTL(H773,-7,1,),'Tasas-TC'!A:B,2,FALSE))+$D$787)),$D$788,IF(AND($D$789&lt;&gt;"",$D$789&lt;(AVERAGE(VLOOKUP(WORKDAY.INTL(H774,-7,1,),'Tasas-TC'!A:B,2,FALSE),VLOOKUP(WORKDAY.INTL(H773,-7,1,),'Tasas-TC'!A:B,2,FALSE))+$D$787)),$D$789,(AVERAGE(VLOOKUP(WORKDAY.INTL(H774,-7,1,),'Tasas-TC'!A:B,2,FALSE),VLOOKUP(WORKDAY.INTL(H773,-7,1,),'Tasas-TC'!A:B,2,FALSE))+$D$787)))/360)*(H774-H773)*L773</f>
        <v>4507361.1111111119</v>
      </c>
      <c r="K774" s="52">
        <f>+IF(OR(I774="A + C",I774="A"),$D$784*$D$790,0)</f>
        <v>0</v>
      </c>
      <c r="L774" s="53">
        <f t="shared" ref="L774:L779" si="70">+L773-K774</f>
        <v>20000000</v>
      </c>
      <c r="M774" s="94">
        <f t="shared" ref="M774:M779" si="71">+J774+K774</f>
        <v>4507361.1111111119</v>
      </c>
      <c r="N774" s="25"/>
      <c r="O774" s="195"/>
    </row>
    <row r="775" spans="1:17" ht="15.95" customHeight="1" x14ac:dyDescent="0.25">
      <c r="A775" s="121"/>
      <c r="B775" s="23"/>
      <c r="C775" s="60"/>
      <c r="D775" s="77"/>
      <c r="E775" s="78"/>
      <c r="F775" s="483"/>
      <c r="G775" s="484"/>
      <c r="H775" s="51">
        <f>IF(DAY(H774)=DAY($H$773),IF(WEEKDAY(EDATE(H774,$D$785),3)&lt;5,EDATE(H774,$D$785),WORKDAY(EDATE(H774,$D$785),1)),IF(WEEKDAY(EDATE($H$773,$D$785*COUNT($H$773:H774)),3)&lt;5,EDATE($H$773,$D$785*COUNT($H$773:H774)),WORKDAY(EDATE($H$773,$D$785*COUNT($H$773:H774)),1)))</f>
        <v>43587</v>
      </c>
      <c r="I775" s="71" t="s">
        <v>13</v>
      </c>
      <c r="J775" s="52">
        <f>(IF(AND($D$788&lt;&gt;"",$D$788&gt;(AVERAGE(VLOOKUP(WORKDAY.INTL(H775,-7,1,),'Tasas-TC'!A:B,2,FALSE),VLOOKUP(WORKDAY.INTL(H774,-7,1,),'Tasas-TC'!A:B,2,FALSE))+$D$787)),$D$788,IF(AND($D$789&lt;&gt;"",$D$789&lt;(AVERAGE(VLOOKUP(WORKDAY.INTL(H775,-7,1,),'Tasas-TC'!A:B,2,FALSE),VLOOKUP(WORKDAY.INTL(H774,-7,1,),'Tasas-TC'!A:B,2,FALSE))+$D$787)),$D$789,(AVERAGE(VLOOKUP(WORKDAY.INTL(H775,-7,1,),'Tasas-TC'!A:B,2,FALSE),VLOOKUP(WORKDAY.INTL(H774,-7,1,),'Tasas-TC'!A:B,2,FALSE))+$D$787)))/360)*(H775-H774)*L774</f>
        <v>5785086.8055555569</v>
      </c>
      <c r="K775" s="52">
        <f>+IF(OR(I775="A + C",I775="A"),$D$784*$D$790,0)</f>
        <v>6666000</v>
      </c>
      <c r="L775" s="53">
        <f t="shared" si="70"/>
        <v>13334000</v>
      </c>
      <c r="M775" s="94">
        <f t="shared" si="71"/>
        <v>12451086.805555556</v>
      </c>
      <c r="N775" s="25"/>
      <c r="O775" s="195"/>
    </row>
    <row r="776" spans="1:17" ht="15.95" customHeight="1" x14ac:dyDescent="0.25">
      <c r="A776" s="121"/>
      <c r="B776" s="23"/>
      <c r="C776" s="60"/>
      <c r="D776" s="471" t="str">
        <f>+B764</f>
        <v>Cilbrake I</v>
      </c>
      <c r="E776" s="472"/>
      <c r="F776" s="483"/>
      <c r="G776" s="484">
        <f>+J766</f>
        <v>0</v>
      </c>
      <c r="H776" s="51">
        <f>IF(DAY(H775)=DAY($H$773),IF(WEEKDAY(EDATE(H775,$D$785),3)&lt;5,EDATE(H775,$D$785),WORKDAY(EDATE(H775,$D$785),1)),IF(WEEKDAY(EDATE($H$773,$D$785*COUNT($H$773:H775)),3)&lt;5,EDATE($H$773,$D$785*COUNT($H$773:H775)),WORKDAY(EDATE($H$773,$D$785*COUNT($H$773:H775)),1)))</f>
        <v>43773</v>
      </c>
      <c r="I776" s="71" t="s">
        <v>7</v>
      </c>
      <c r="J776" s="52">
        <f>(IF(AND($D$788&lt;&gt;"",$D$788&gt;(AVERAGE(VLOOKUP(WORKDAY.INTL(H776,-7,1,),'Tasas-TC'!A:B,2,FALSE),VLOOKUP(WORKDAY.INTL(H775,-7,1,),'Tasas-TC'!A:B,2,FALSE))+$D$787)),$D$788,IF(AND($D$789&lt;&gt;"",$D$789&lt;(AVERAGE(VLOOKUP(WORKDAY.INTL(H776,-7,1,),'Tasas-TC'!A:B,2,FALSE),VLOOKUP(WORKDAY.INTL(H775,-7,1,),'Tasas-TC'!A:B,2,FALSE))+$D$787)),$D$789,(AVERAGE(VLOOKUP(WORKDAY.INTL(H776,-7,1,),'Tasas-TC'!A:B,2,FALSE),VLOOKUP(WORKDAY.INTL(H775,-7,1,),'Tasas-TC'!A:B,2,FALSE))+$D$787)))/360)*(H776-H775)*L775</f>
        <v>4030201.4999999995</v>
      </c>
      <c r="K776" s="52">
        <f>+IF(OR(I776="A + C",I776="A"),$D$784*$D$790,0)</f>
        <v>0</v>
      </c>
      <c r="L776" s="53">
        <f t="shared" si="70"/>
        <v>13334000</v>
      </c>
      <c r="M776" s="94">
        <f t="shared" si="71"/>
        <v>4030201.4999999995</v>
      </c>
      <c r="N776" s="25"/>
      <c r="O776" s="195"/>
    </row>
    <row r="777" spans="1:17" ht="15.95" customHeight="1" x14ac:dyDescent="0.25">
      <c r="A777" s="121"/>
      <c r="B777" s="32"/>
      <c r="D777" s="671"/>
      <c r="E777" s="671"/>
      <c r="F777" s="483"/>
      <c r="G777" s="484"/>
      <c r="H777" s="51">
        <f>IF(DAY(H776)=DAY($H$773),IF(WEEKDAY(EDATE(H776,$D$785),3)&lt;5,EDATE(H776,$D$785),WORKDAY(EDATE(H776,$D$785),1)),IF(WEEKDAY(EDATE($H$773,$D$785*COUNT($H$773:H776)),3)&lt;5,EDATE($H$773,$D$785*COUNT($H$773:H776)),WORKDAY(EDATE($H$773,$D$785*COUNT($H$773:H776)),1)))</f>
        <v>43955</v>
      </c>
      <c r="I777" s="71" t="s">
        <v>13</v>
      </c>
      <c r="J777" s="52">
        <f>(IF(AND($D$788&lt;&gt;"",$D$788&gt;(AVERAGE(VLOOKUP(WORKDAY.INTL(H777,-7,1,),'Tasas-TC'!A:B,2,FALSE),VLOOKUP(WORKDAY.INTL(H776,-7,1,),'Tasas-TC'!A:B,2,FALSE))+$D$787)),$D$788,IF(AND($D$789&lt;&gt;"",$D$789&lt;(AVERAGE(VLOOKUP(WORKDAY.INTL(H777,-7,1,),'Tasas-TC'!A:B,2,FALSE),VLOOKUP(WORKDAY.INTL(H776,-7,1,),'Tasas-TC'!A:B,2,FALSE))+$D$787)),$D$789,(AVERAGE(VLOOKUP(WORKDAY.INTL(H777,-7,1,),'Tasas-TC'!A:B,2,FALSE),VLOOKUP(WORKDAY.INTL(H776,-7,1,),'Tasas-TC'!A:B,2,FALSE))+$D$787)))/360)*(H777-H776)*L776</f>
        <v>2810186.7986111115</v>
      </c>
      <c r="K777" s="52">
        <f>+IF(OR(I777="A + C",I777="A"),$D$784*$D$790,0)</f>
        <v>6666000</v>
      </c>
      <c r="L777" s="53">
        <f t="shared" si="70"/>
        <v>6668000</v>
      </c>
      <c r="M777" s="94">
        <f t="shared" si="71"/>
        <v>9476186.7986111119</v>
      </c>
      <c r="N777" s="25"/>
      <c r="O777" s="197">
        <f>+M853</f>
        <v>-23538460</v>
      </c>
      <c r="P777" s="197">
        <f>-M853</f>
        <v>23538460</v>
      </c>
      <c r="Q777" s="197"/>
    </row>
    <row r="778" spans="1:17" ht="15.95" customHeight="1" x14ac:dyDescent="0.25">
      <c r="A778" s="121"/>
      <c r="B778" s="23"/>
      <c r="C778" s="638" t="s">
        <v>36</v>
      </c>
      <c r="D778" s="640"/>
      <c r="E778" s="36"/>
      <c r="F778" s="483"/>
      <c r="G778" s="484"/>
      <c r="H778" s="51">
        <f>IF(DAY(H777)=DAY($H$773),IF(WEEKDAY(EDATE(H777,$D$785),3)&lt;5,EDATE(H777,$D$785),WORKDAY(EDATE(H777,$D$785),1)),IF(WEEKDAY(EDATE($H$773,$D$785*COUNT($H$773:H777)),3)&lt;5,EDATE($H$773,$D$785*COUNT($H$773:H777)),WORKDAY(EDATE($H$773,$D$785*COUNT($H$773:H777)),1)))</f>
        <v>44137</v>
      </c>
      <c r="I778" s="71" t="s">
        <v>7</v>
      </c>
      <c r="J778" s="52">
        <f>(IF(AND($D$788&lt;&gt;"",$D$788&gt;(AVERAGE(VLOOKUP(WORKDAY.INTL(H778,-7,1,),'Tasas-TC'!A:B,2,FALSE),VLOOKUP(WORKDAY.INTL(H777,-7,1,),'Tasas-TC'!A:B,2,FALSE))+$D$787)),$D$788,IF(AND($D$789&lt;&gt;"",$D$789&lt;(AVERAGE(VLOOKUP(WORKDAY.INTL(H778,-7,1,),'Tasas-TC'!A:B,2,FALSE),VLOOKUP(WORKDAY.INTL(H777,-7,1,),'Tasas-TC'!A:B,2,FALSE))+$D$787)),$D$789,(AVERAGE(VLOOKUP(WORKDAY.INTL(H778,-7,1,),'Tasas-TC'!A:B,2,FALSE),VLOOKUP(WORKDAY.INTL(H777,-7,1,),'Tasas-TC'!A:B,2,FALSE))+$D$787)))/360)*(H778-H777)*L777</f>
        <v>1029222.0069444443</v>
      </c>
      <c r="K778" s="52">
        <f>+IF(OR(I778="A + C",I778="A"),$D$784*$D$791,0)</f>
        <v>0</v>
      </c>
      <c r="L778" s="53">
        <f t="shared" si="70"/>
        <v>6668000</v>
      </c>
      <c r="M778" s="94">
        <f t="shared" si="71"/>
        <v>1029222.0069444443</v>
      </c>
      <c r="N778" s="25"/>
      <c r="O778" s="197">
        <f t="shared" ref="O778:O784" si="72">+M854+O777</f>
        <v>-13128576.065000001</v>
      </c>
      <c r="P778" s="197">
        <f t="shared" ref="P778:P784" si="73">+(M854/(1+$J$864)^((H854-$H$853)/365))/$P$777</f>
        <v>0.44224999999999992</v>
      </c>
      <c r="Q778" s="197">
        <f t="shared" ref="Q778:Q784" si="74">+P778*((H854-$H$853)/365)</f>
        <v>0.22536575342465751</v>
      </c>
    </row>
    <row r="779" spans="1:17" ht="15.95" customHeight="1" x14ac:dyDescent="0.25">
      <c r="A779" s="121"/>
      <c r="B779" s="23"/>
      <c r="C779" s="59"/>
      <c r="D779" s="62"/>
      <c r="E779" s="36"/>
      <c r="F779" s="483"/>
      <c r="G779" s="484"/>
      <c r="H779" s="51">
        <f>IF(DAY(H778)=DAY($H$773),IF(WEEKDAY(EDATE(H778,$D$785),3)&lt;5,EDATE(H778,$D$785),WORKDAY(EDATE(H778,$D$785),1)),IF(WEEKDAY(EDATE($H$773,$D$785*COUNT($H$773:H778)),3)&lt;5,EDATE($H$773,$D$785*COUNT($H$773:H778)),WORKDAY(EDATE($H$773,$D$785*COUNT($H$773:H778)),1)))</f>
        <v>44319</v>
      </c>
      <c r="I779" s="71" t="s">
        <v>13</v>
      </c>
      <c r="J779" s="52">
        <f>(IF(AND($D$788&lt;&gt;"",$D$788&gt;(AVERAGE(VLOOKUP(WORKDAY.INTL(H779,-7,1,),'Tasas-TC'!A:B,2,FALSE),VLOOKUP(WORKDAY.INTL(H778,-7,1,),'Tasas-TC'!A:B,2,FALSE))+$D$787)),$D$788,IF(AND($D$789&lt;&gt;"",$D$789&lt;(AVERAGE(VLOOKUP(WORKDAY.INTL(H779,-7,1,),'Tasas-TC'!A:B,2,FALSE),VLOOKUP(WORKDAY.INTL(H778,-7,1,),'Tasas-TC'!A:B,2,FALSE))+$D$787)),$D$789,(AVERAGE(VLOOKUP(WORKDAY.INTL(H779,-7,1,),'Tasas-TC'!A:B,2,FALSE),VLOOKUP(WORKDAY.INTL(H778,-7,1,),'Tasas-TC'!A:B,2,FALSE))+$D$787)))/360)*(H779-H778)*L778</f>
        <v>1337883.263888889</v>
      </c>
      <c r="K779" s="52">
        <f>+IF(OR(I779="A + C",I779="A"),$D$784*$D$791,0)</f>
        <v>6667999.9999999991</v>
      </c>
      <c r="L779" s="53">
        <f t="shared" si="70"/>
        <v>0</v>
      </c>
      <c r="M779" s="94">
        <f t="shared" si="71"/>
        <v>8005883.2638888881</v>
      </c>
      <c r="N779" s="25"/>
      <c r="O779" s="197">
        <f t="shared" si="72"/>
        <v>-7369036.5135559039</v>
      </c>
      <c r="P779" s="197">
        <f t="shared" si="73"/>
        <v>0.24468633680555557</v>
      </c>
      <c r="Q779" s="197">
        <f t="shared" si="74"/>
        <v>0.18569346656202437</v>
      </c>
    </row>
    <row r="780" spans="1:17" ht="15.95" customHeight="1" x14ac:dyDescent="0.25">
      <c r="A780" s="121"/>
      <c r="B780" s="23"/>
      <c r="C780" s="59" t="s">
        <v>9</v>
      </c>
      <c r="D780" s="98" t="s">
        <v>18</v>
      </c>
      <c r="E780" s="36"/>
      <c r="F780" s="483"/>
      <c r="G780" s="484"/>
      <c r="H780" s="54"/>
      <c r="I780" s="104"/>
      <c r="J780" s="55"/>
      <c r="K780" s="56"/>
      <c r="L780" s="57"/>
      <c r="M780" s="109"/>
      <c r="N780" s="25"/>
      <c r="O780" s="197">
        <f t="shared" si="72"/>
        <v>-2413602.2220559036</v>
      </c>
      <c r="P780" s="197">
        <f t="shared" si="73"/>
        <v>0.21052500000000002</v>
      </c>
      <c r="Q780" s="197">
        <f t="shared" si="74"/>
        <v>0.21225534246575345</v>
      </c>
    </row>
    <row r="781" spans="1:17" ht="15.95" customHeight="1" x14ac:dyDescent="0.25">
      <c r="A781" s="121"/>
      <c r="B781" s="23"/>
      <c r="C781" s="59" t="s">
        <v>10</v>
      </c>
      <c r="D781" s="65">
        <v>43218</v>
      </c>
      <c r="E781" s="36"/>
      <c r="F781" s="483"/>
      <c r="G781" s="484"/>
      <c r="H781" s="35"/>
      <c r="I781" s="35"/>
      <c r="J781" s="35"/>
      <c r="K781" s="109"/>
      <c r="L781" s="109"/>
      <c r="M781" s="109"/>
      <c r="N781" s="25"/>
      <c r="O781" s="197">
        <f t="shared" si="72"/>
        <v>2167279.5939246519</v>
      </c>
      <c r="P781" s="197">
        <f t="shared" si="73"/>
        <v>0.19461263888888888</v>
      </c>
      <c r="Q781" s="197">
        <f t="shared" si="74"/>
        <v>0.24473205821917809</v>
      </c>
    </row>
    <row r="782" spans="1:17" ht="15.95" customHeight="1" x14ac:dyDescent="0.25">
      <c r="A782" s="121"/>
      <c r="B782" s="23"/>
      <c r="C782" s="59" t="s">
        <v>11</v>
      </c>
      <c r="D782" s="65">
        <v>43222</v>
      </c>
      <c r="E782" s="36"/>
      <c r="F782" s="483"/>
      <c r="G782" s="484"/>
      <c r="H782" s="656" t="s">
        <v>43</v>
      </c>
      <c r="I782" s="656"/>
      <c r="J782" s="92">
        <v>0</v>
      </c>
      <c r="K782" s="92"/>
      <c r="L782" s="24"/>
      <c r="M782" s="24"/>
      <c r="N782" s="25"/>
      <c r="O782" s="197">
        <f t="shared" si="72"/>
        <v>6534407.6738760406</v>
      </c>
      <c r="P782" s="197">
        <f t="shared" si="73"/>
        <v>0.18553159722222221</v>
      </c>
      <c r="Q782" s="197">
        <f t="shared" si="74"/>
        <v>0.27956816019786906</v>
      </c>
    </row>
    <row r="783" spans="1:17" ht="15.95" customHeight="1" x14ac:dyDescent="0.25">
      <c r="A783" s="121"/>
      <c r="B783" s="23"/>
      <c r="C783" s="59" t="s">
        <v>12</v>
      </c>
      <c r="D783" s="65">
        <v>44318</v>
      </c>
      <c r="E783" s="36"/>
      <c r="F783" s="483"/>
      <c r="G783" s="484"/>
      <c r="H783" s="657"/>
      <c r="I783" s="657"/>
      <c r="J783" s="392"/>
      <c r="K783" s="24"/>
      <c r="L783" s="33"/>
      <c r="M783" s="33"/>
      <c r="N783" s="25"/>
      <c r="O783" s="197">
        <f t="shared" si="72"/>
        <v>10598457.648636458</v>
      </c>
      <c r="P783" s="197">
        <f t="shared" si="73"/>
        <v>0.17265572916666669</v>
      </c>
      <c r="Q783" s="197">
        <f t="shared" si="74"/>
        <v>0.30321184218036534</v>
      </c>
    </row>
    <row r="784" spans="1:17" ht="15.95" customHeight="1" x14ac:dyDescent="0.25">
      <c r="A784" s="121"/>
      <c r="B784" s="23"/>
      <c r="C784" s="59" t="s">
        <v>27</v>
      </c>
      <c r="D784" s="66">
        <v>20000000</v>
      </c>
      <c r="E784" s="41"/>
      <c r="F784" s="480"/>
      <c r="G784" s="484"/>
      <c r="H784" s="24"/>
      <c r="I784" s="24"/>
      <c r="J784" s="24"/>
      <c r="K784" s="24"/>
      <c r="L784" s="24"/>
      <c r="M784" s="24"/>
      <c r="N784" s="25"/>
      <c r="O784" s="197">
        <f t="shared" si="72"/>
        <v>14775756.221764237</v>
      </c>
      <c r="P784" s="197">
        <f t="shared" si="73"/>
        <v>0.17746694444444447</v>
      </c>
      <c r="Q784" s="197">
        <f t="shared" si="74"/>
        <v>0.35590631050228316</v>
      </c>
    </row>
    <row r="785" spans="1:16" ht="15.95" customHeight="1" x14ac:dyDescent="0.25">
      <c r="A785" s="121"/>
      <c r="B785" s="23"/>
      <c r="C785" s="59" t="s">
        <v>26</v>
      </c>
      <c r="D785" s="66">
        <v>6</v>
      </c>
      <c r="E785" s="36"/>
      <c r="F785" s="480"/>
      <c r="G785" s="484"/>
      <c r="H785" s="638" t="s">
        <v>44</v>
      </c>
      <c r="I785" s="639"/>
      <c r="J785" s="639"/>
      <c r="K785" s="639"/>
      <c r="L785" s="639"/>
      <c r="M785" s="640"/>
      <c r="N785" s="25"/>
      <c r="O785" s="197"/>
      <c r="P785" s="29"/>
    </row>
    <row r="786" spans="1:16" ht="15.95" customHeight="1" x14ac:dyDescent="0.25">
      <c r="A786" s="121"/>
      <c r="B786" s="23"/>
      <c r="C786" s="59" t="s">
        <v>19</v>
      </c>
      <c r="D786" s="67" t="s">
        <v>20</v>
      </c>
      <c r="E786" s="43"/>
      <c r="F786" s="480"/>
      <c r="G786" s="484"/>
      <c r="H786" s="23"/>
      <c r="I786" s="24"/>
      <c r="J786" s="24"/>
      <c r="K786" s="24"/>
      <c r="L786" s="24"/>
      <c r="M786" s="25"/>
      <c r="N786" s="25"/>
      <c r="O786" s="197"/>
      <c r="P786" s="29"/>
    </row>
    <row r="787" spans="1:16" ht="15.95" customHeight="1" x14ac:dyDescent="0.25">
      <c r="A787" s="121"/>
      <c r="B787" s="23"/>
      <c r="C787" s="59" t="s">
        <v>14</v>
      </c>
      <c r="D787" s="68">
        <v>7.0000000000000007E-2</v>
      </c>
      <c r="E787" s="43"/>
      <c r="F787" s="480"/>
      <c r="G787" s="484"/>
      <c r="H787" s="23"/>
      <c r="I787" s="24"/>
      <c r="J787" s="24"/>
      <c r="K787" s="24"/>
      <c r="L787" s="24"/>
      <c r="M787" s="25"/>
      <c r="N787" s="25"/>
      <c r="O787" s="197"/>
    </row>
    <row r="788" spans="1:16" ht="15.95" customHeight="1" x14ac:dyDescent="0.25">
      <c r="A788" s="121"/>
      <c r="B788" s="23"/>
      <c r="C788" s="59" t="s">
        <v>31</v>
      </c>
      <c r="D788" s="68"/>
      <c r="E788" s="43"/>
      <c r="F788" s="480"/>
      <c r="G788" s="484"/>
      <c r="H788" s="96"/>
      <c r="I788" s="35"/>
      <c r="J788" s="24"/>
      <c r="K788" s="24"/>
      <c r="L788" s="24"/>
      <c r="M788" s="25"/>
      <c r="N788" s="25"/>
      <c r="O788" s="197"/>
      <c r="P788" s="37"/>
    </row>
    <row r="789" spans="1:16" ht="15.95" customHeight="1" x14ac:dyDescent="0.25">
      <c r="A789" s="121"/>
      <c r="B789" s="23"/>
      <c r="C789" s="59" t="s">
        <v>32</v>
      </c>
      <c r="D789" s="68"/>
      <c r="E789" s="44"/>
      <c r="F789" s="480"/>
      <c r="G789" s="484"/>
      <c r="H789" s="23"/>
      <c r="I789" s="24"/>
      <c r="J789" s="24"/>
      <c r="K789" s="24"/>
      <c r="L789" s="24"/>
      <c r="M789" s="25"/>
      <c r="N789" s="25"/>
      <c r="O789" s="195"/>
    </row>
    <row r="790" spans="1:16" ht="15.95" customHeight="1" x14ac:dyDescent="0.25">
      <c r="A790" s="121"/>
      <c r="B790" s="23"/>
      <c r="C790" s="59" t="s">
        <v>81</v>
      </c>
      <c r="D790" s="68">
        <v>0.33329999999999999</v>
      </c>
      <c r="E790" s="24"/>
      <c r="F790" s="480"/>
      <c r="G790" s="484"/>
      <c r="H790" s="23"/>
      <c r="I790" s="24"/>
      <c r="J790" s="24"/>
      <c r="K790" s="24"/>
      <c r="L790" s="24"/>
      <c r="M790" s="25"/>
      <c r="N790" s="25"/>
      <c r="O790" s="195"/>
    </row>
    <row r="791" spans="1:16" ht="15.95" customHeight="1" x14ac:dyDescent="0.25">
      <c r="A791" s="121"/>
      <c r="B791" s="23"/>
      <c r="C791" s="59" t="s">
        <v>55</v>
      </c>
      <c r="D791" s="68">
        <v>0.33339999999999997</v>
      </c>
      <c r="E791" s="24"/>
      <c r="F791" s="480"/>
      <c r="G791" s="484"/>
      <c r="H791" s="23"/>
      <c r="I791" s="24"/>
      <c r="J791" s="24"/>
      <c r="K791" s="24"/>
      <c r="L791" s="24"/>
      <c r="M791" s="25"/>
      <c r="N791" s="25"/>
      <c r="O791" s="197"/>
    </row>
    <row r="792" spans="1:16" ht="15.95" customHeight="1" x14ac:dyDescent="0.25">
      <c r="A792" s="121"/>
      <c r="B792" s="23"/>
      <c r="C792" s="60"/>
      <c r="D792" s="110"/>
      <c r="E792" s="24"/>
      <c r="F792" s="480"/>
      <c r="G792" s="484"/>
      <c r="H792" s="23"/>
      <c r="I792" s="24"/>
      <c r="J792" s="24"/>
      <c r="K792" s="24"/>
      <c r="L792" s="24"/>
      <c r="M792" s="25"/>
      <c r="N792" s="25"/>
      <c r="O792" s="195"/>
    </row>
    <row r="793" spans="1:16" ht="15.95" customHeight="1" x14ac:dyDescent="0.25">
      <c r="A793" s="121"/>
      <c r="B793" s="23"/>
      <c r="C793" s="24"/>
      <c r="D793" s="24"/>
      <c r="E793" s="24"/>
      <c r="F793" s="480"/>
      <c r="G793" s="485"/>
      <c r="H793" s="23"/>
      <c r="I793" s="24"/>
      <c r="J793" s="24"/>
      <c r="K793" s="24"/>
      <c r="L793" s="24"/>
      <c r="M793" s="25"/>
      <c r="N793" s="25"/>
      <c r="O793" s="195"/>
    </row>
    <row r="794" spans="1:16" ht="15.95" customHeight="1" x14ac:dyDescent="0.25">
      <c r="A794" s="121"/>
      <c r="B794" s="23"/>
      <c r="C794" s="24"/>
      <c r="D794" s="24"/>
      <c r="E794" s="24"/>
      <c r="F794" s="480"/>
      <c r="G794" s="485"/>
      <c r="H794" s="23"/>
      <c r="I794" s="24"/>
      <c r="J794" s="24"/>
      <c r="K794" s="24"/>
      <c r="L794" s="24"/>
      <c r="M794" s="25"/>
      <c r="N794" s="25"/>
      <c r="O794" s="195"/>
    </row>
    <row r="795" spans="1:16" ht="15.95" customHeight="1" x14ac:dyDescent="0.25">
      <c r="A795" s="121"/>
      <c r="B795" s="23"/>
      <c r="C795" s="24"/>
      <c r="D795" s="24"/>
      <c r="E795" s="24"/>
      <c r="F795" s="480"/>
      <c r="G795" s="485"/>
      <c r="H795" s="23"/>
      <c r="I795" s="24"/>
      <c r="J795" s="24"/>
      <c r="K795" s="24"/>
      <c r="L795" s="24"/>
      <c r="M795" s="25"/>
      <c r="N795" s="25"/>
      <c r="O795" s="195"/>
    </row>
    <row r="796" spans="1:16" ht="15.95" customHeight="1" x14ac:dyDescent="0.25">
      <c r="A796" s="121"/>
      <c r="B796" s="23"/>
      <c r="C796" s="24"/>
      <c r="D796" s="24"/>
      <c r="E796" s="24"/>
      <c r="F796" s="480"/>
      <c r="G796" s="485"/>
      <c r="H796" s="23"/>
      <c r="I796" s="24"/>
      <c r="J796" s="24"/>
      <c r="K796" s="24"/>
      <c r="L796" s="24"/>
      <c r="M796" s="25"/>
      <c r="N796" s="25"/>
      <c r="O796" s="195"/>
    </row>
    <row r="797" spans="1:16" ht="15.95" customHeight="1" x14ac:dyDescent="0.25">
      <c r="A797" s="121"/>
      <c r="B797" s="23"/>
      <c r="C797" s="24"/>
      <c r="D797" s="24"/>
      <c r="E797" s="24"/>
      <c r="F797" s="480"/>
      <c r="G797" s="485"/>
      <c r="H797" s="23"/>
      <c r="I797" s="24"/>
      <c r="J797" s="24"/>
      <c r="K797" s="24"/>
      <c r="L797" s="24"/>
      <c r="M797" s="25"/>
      <c r="N797" s="25"/>
      <c r="O797" s="195"/>
    </row>
    <row r="798" spans="1:16" ht="15.95" customHeight="1" x14ac:dyDescent="0.25">
      <c r="A798" s="121"/>
      <c r="B798" s="23"/>
      <c r="C798" s="24"/>
      <c r="D798" s="24"/>
      <c r="E798" s="24"/>
      <c r="F798" s="480"/>
      <c r="G798" s="485"/>
      <c r="H798" s="26"/>
      <c r="I798" s="27"/>
      <c r="J798" s="27"/>
      <c r="K798" s="27"/>
      <c r="L798" s="27"/>
      <c r="M798" s="28"/>
      <c r="N798" s="25"/>
      <c r="O798" s="195"/>
    </row>
    <row r="799" spans="1:16" ht="15.95" customHeight="1" x14ac:dyDescent="0.25">
      <c r="A799" s="121"/>
      <c r="B799" s="26"/>
      <c r="C799" s="27"/>
      <c r="D799" s="27"/>
      <c r="E799" s="27"/>
      <c r="F799" s="481"/>
      <c r="G799" s="486"/>
      <c r="H799" s="27"/>
      <c r="I799" s="27"/>
      <c r="J799" s="27"/>
      <c r="K799" s="27"/>
      <c r="L799" s="27"/>
      <c r="M799" s="27"/>
      <c r="N799" s="28"/>
      <c r="O799" s="195"/>
    </row>
    <row r="800" spans="1:16" ht="15.95" customHeight="1" x14ac:dyDescent="0.25">
      <c r="A800" s="121"/>
      <c r="B800" s="23"/>
      <c r="C800" s="24"/>
      <c r="D800" s="24"/>
      <c r="E800" s="24"/>
      <c r="F800" s="480"/>
      <c r="G800" s="480"/>
      <c r="H800" s="24"/>
      <c r="I800" s="24"/>
      <c r="J800" s="24"/>
      <c r="K800" s="24"/>
      <c r="L800" s="24"/>
      <c r="M800" s="24"/>
      <c r="N800" s="25"/>
      <c r="O800" s="195"/>
    </row>
    <row r="801" spans="1:17" ht="15.95" customHeight="1" x14ac:dyDescent="0.25">
      <c r="A801" s="121"/>
      <c r="B801" s="661" t="s">
        <v>119</v>
      </c>
      <c r="C801" s="662"/>
      <c r="D801" s="662"/>
      <c r="E801" s="662"/>
      <c r="F801" s="662"/>
      <c r="G801" s="662"/>
      <c r="H801" s="662"/>
      <c r="I801" s="662"/>
      <c r="J801" s="662"/>
      <c r="K801" s="662"/>
      <c r="L801" s="662"/>
      <c r="M801" s="662"/>
      <c r="N801" s="663"/>
      <c r="O801" s="195"/>
    </row>
    <row r="802" spans="1:17" ht="15.95" customHeight="1" x14ac:dyDescent="0.25">
      <c r="A802" s="121"/>
      <c r="B802" s="23"/>
      <c r="C802" s="24"/>
      <c r="D802" s="24"/>
      <c r="E802" s="24"/>
      <c r="F802" s="483"/>
      <c r="G802" s="484"/>
      <c r="H802" s="31"/>
      <c r="I802" s="31"/>
      <c r="J802" s="24"/>
      <c r="K802" s="24"/>
      <c r="L802" s="24"/>
      <c r="M802" s="24"/>
      <c r="N802" s="25"/>
      <c r="O802" s="195"/>
    </row>
    <row r="803" spans="1:17" ht="15.95" customHeight="1" x14ac:dyDescent="0.25">
      <c r="A803" s="121"/>
      <c r="B803" s="23"/>
      <c r="C803" s="638" t="s">
        <v>37</v>
      </c>
      <c r="D803" s="639"/>
      <c r="E803" s="640"/>
      <c r="F803" s="483"/>
      <c r="G803" s="484"/>
      <c r="H803" s="641" t="s">
        <v>28</v>
      </c>
      <c r="I803" s="642"/>
      <c r="J803" s="39">
        <f>+$D$821-SUMIF($H$809:$H$823,"&lt;"&amp;$M$4,$K$809:$K$823)</f>
        <v>0</v>
      </c>
      <c r="K803" s="24"/>
      <c r="L803" s="24"/>
      <c r="M803" s="24"/>
      <c r="N803" s="25"/>
      <c r="O803" s="195"/>
    </row>
    <row r="804" spans="1:17" ht="15.95" customHeight="1" x14ac:dyDescent="0.25">
      <c r="A804" s="121"/>
      <c r="B804" s="23"/>
      <c r="C804" s="58"/>
      <c r="D804" s="664"/>
      <c r="E804" s="665"/>
      <c r="F804" s="483"/>
      <c r="G804" s="484"/>
      <c r="H804" s="645" t="s">
        <v>29</v>
      </c>
      <c r="I804" s="646"/>
      <c r="J804" s="40">
        <f>+$D$820</f>
        <v>44438</v>
      </c>
      <c r="K804" s="24"/>
      <c r="L804" s="24"/>
      <c r="M804" s="24"/>
      <c r="N804" s="25"/>
      <c r="O804" s="195"/>
    </row>
    <row r="805" spans="1:17" ht="15.95" customHeight="1" x14ac:dyDescent="0.25">
      <c r="A805" s="121"/>
      <c r="B805" s="23"/>
      <c r="C805" s="59" t="s">
        <v>25</v>
      </c>
      <c r="D805" s="658"/>
      <c r="E805" s="659"/>
      <c r="F805" s="483"/>
      <c r="G805" s="484"/>
      <c r="H805" s="649" t="s">
        <v>30</v>
      </c>
      <c r="I805" s="650"/>
      <c r="J805" s="42" t="str">
        <f t="array" ref="J805">+IF(H822&gt;=M4,MIN(IF($H$809:$H$823&gt;=$M$4,$H$809:$H$823,"")),"vencida")</f>
        <v>vencida</v>
      </c>
      <c r="K805" s="24"/>
      <c r="L805" s="24"/>
      <c r="M805" s="24"/>
      <c r="N805" s="25"/>
      <c r="O805" s="195"/>
    </row>
    <row r="806" spans="1:17" ht="15.95" customHeight="1" x14ac:dyDescent="0.25">
      <c r="A806" s="121"/>
      <c r="B806" s="23"/>
      <c r="C806" s="59" t="s">
        <v>6</v>
      </c>
      <c r="D806" s="658" t="s">
        <v>109</v>
      </c>
      <c r="E806" s="659"/>
      <c r="F806" s="483"/>
      <c r="G806" s="484"/>
      <c r="H806" s="24"/>
      <c r="I806" s="24"/>
      <c r="J806" s="24"/>
      <c r="K806" s="24"/>
      <c r="L806" s="24"/>
      <c r="M806" s="24"/>
      <c r="N806" s="25"/>
      <c r="O806" s="195"/>
    </row>
    <row r="807" spans="1:17" ht="15.95" customHeight="1" x14ac:dyDescent="0.25">
      <c r="A807" s="121"/>
      <c r="B807" s="23"/>
      <c r="C807" s="59" t="s">
        <v>8</v>
      </c>
      <c r="D807" s="658" t="s">
        <v>17</v>
      </c>
      <c r="E807" s="659"/>
      <c r="F807" s="483"/>
      <c r="G807" s="484"/>
      <c r="H807" s="651" t="s">
        <v>41</v>
      </c>
      <c r="I807" s="652"/>
      <c r="J807" s="652"/>
      <c r="K807" s="652"/>
      <c r="L807" s="653"/>
      <c r="M807" s="24"/>
      <c r="N807" s="25"/>
      <c r="O807" s="195"/>
    </row>
    <row r="808" spans="1:17" ht="15.95" customHeight="1" x14ac:dyDescent="0.25">
      <c r="A808" s="121"/>
      <c r="B808" s="23"/>
      <c r="C808" s="59" t="s">
        <v>33</v>
      </c>
      <c r="D808" s="73" t="s">
        <v>309</v>
      </c>
      <c r="E808" s="273">
        <v>1</v>
      </c>
      <c r="F808" s="483">
        <f>+E808*J803</f>
        <v>0</v>
      </c>
      <c r="G808" s="484"/>
      <c r="H808" s="81" t="s">
        <v>0</v>
      </c>
      <c r="I808" s="82" t="s">
        <v>2</v>
      </c>
      <c r="J808" s="82" t="s">
        <v>3</v>
      </c>
      <c r="K808" s="82" t="s">
        <v>4</v>
      </c>
      <c r="L808" s="83" t="s">
        <v>5</v>
      </c>
      <c r="M808" s="82" t="s">
        <v>44</v>
      </c>
      <c r="N808" s="25"/>
      <c r="O808" s="194" t="str">
        <f>+D888</f>
        <v>ON Pyme CNV Garantizada</v>
      </c>
    </row>
    <row r="809" spans="1:17" ht="20.100000000000001" customHeight="1" x14ac:dyDescent="0.25">
      <c r="A809" s="121"/>
      <c r="B809" s="23"/>
      <c r="C809" s="59" t="s">
        <v>34</v>
      </c>
      <c r="D809" s="658" t="s">
        <v>48</v>
      </c>
      <c r="E809" s="659"/>
      <c r="F809" s="483"/>
      <c r="G809" s="484"/>
      <c r="H809" s="45"/>
      <c r="I809" s="46"/>
      <c r="J809" s="46"/>
      <c r="K809" s="46"/>
      <c r="L809" s="47"/>
      <c r="M809" s="23"/>
      <c r="N809" s="25"/>
      <c r="O809" s="195"/>
    </row>
    <row r="810" spans="1:17" ht="15.95" customHeight="1" x14ac:dyDescent="0.25">
      <c r="A810" s="121"/>
      <c r="B810" s="23"/>
      <c r="C810" s="79" t="s">
        <v>38</v>
      </c>
      <c r="D810" s="75"/>
      <c r="E810" s="76"/>
      <c r="F810" s="483"/>
      <c r="G810" s="484"/>
      <c r="H810" s="48">
        <f>+$D$819</f>
        <v>43342</v>
      </c>
      <c r="I810" s="70"/>
      <c r="J810" s="49"/>
      <c r="K810" s="49"/>
      <c r="L810" s="50">
        <f>+D821</f>
        <v>19000000</v>
      </c>
      <c r="M810" s="93">
        <f>-L810</f>
        <v>-19000000</v>
      </c>
      <c r="N810" s="25"/>
      <c r="O810" s="194" t="str">
        <f>+IF(J886="vencida",IF(D888='Reporte - Oscuro'!$C$40,'Reporte - Oscuro'!$C$40&amp;" vencida",IF(D888='Reporte - Oscuro'!$C$41,'Reporte - Oscuro'!$C$41&amp;" vencida",IF(D888='Reporte - Oscuro'!$C$42,'Reporte - Oscuro'!$C$42&amp;" vencida",'Reporte - Oscuro'!$C$43&amp;" vencida"))),D888&amp;" vigente")</f>
        <v>ON Pyme CNV Garantizada vencida</v>
      </c>
    </row>
    <row r="811" spans="1:17" ht="20.100000000000001" customHeight="1" x14ac:dyDescent="0.25">
      <c r="A811" s="121"/>
      <c r="B811" s="23"/>
      <c r="C811" s="59"/>
      <c r="D811" s="73"/>
      <c r="E811" s="74"/>
      <c r="F811" s="483"/>
      <c r="G811" s="484"/>
      <c r="H811" s="51">
        <f>IF(DAY(H810)=DAY($H$810),IF(WEEKDAY(EDATE(H810,$D$822),3)&lt;5,EDATE(H810,$D$822),WORKDAY(EDATE(H810,$D$822),1)),IF(WEEKDAY(EDATE($H$810,$D$822*COUNT($H$810:H810)),3)&lt;5,EDATE($H$810,$D$822*COUNT($H$810:H810)),WORKDAY(EDATE($H$810,$D$822*COUNT($H$810:H810)),1)))</f>
        <v>43434</v>
      </c>
      <c r="I811" s="71" t="s">
        <v>13</v>
      </c>
      <c r="J811" s="52">
        <f>(IF(AND($D$825&lt;&gt;"",$D$825&gt;(AVERAGE(VLOOKUP(WORKDAY.INTL(H811,-7,1,),'Tasas-TC'!A:B,2,FALSE),VLOOKUP(WORKDAY.INTL(H810,-7,1,),'Tasas-TC'!A:B,2,FALSE))+$D$824)),$D$825,IF(AND($D$826&lt;&gt;"",$D$826&lt;(AVERAGE(VLOOKUP(WORKDAY.INTL(H811,-7,1,),'Tasas-TC'!A:B,2,FALSE),VLOOKUP(WORKDAY.INTL(H810,-7,1,),'Tasas-TC'!A:B,2,FALSE))+$D$824)),$D$826,(AVERAGE(VLOOKUP(WORKDAY.INTL(H811,-7,1,),'Tasas-TC'!A:B,2,FALSE),VLOOKUP(WORKDAY.INTL(H810,-7,1,),'Tasas-TC'!A:B,2,FALSE))+$D$824)))/360)*(H811-H810)*L810</f>
        <v>2567375.0000000005</v>
      </c>
      <c r="K811" s="52">
        <f t="shared" ref="K811:K821" si="75">+IF(OR(I811="A + C",I811="A"),$D$821*$D$827,0)</f>
        <v>1582700</v>
      </c>
      <c r="L811" s="53">
        <f t="shared" ref="L811:L822" si="76">+L810-K811</f>
        <v>17417300</v>
      </c>
      <c r="M811" s="94">
        <f t="shared" ref="M811:M822" si="77">+J811+K811</f>
        <v>4150075.0000000005</v>
      </c>
      <c r="N811" s="25"/>
      <c r="O811" s="195"/>
    </row>
    <row r="812" spans="1:17" ht="15.95" customHeight="1" x14ac:dyDescent="0.25">
      <c r="A812" s="121"/>
      <c r="B812" s="23"/>
      <c r="C812" s="60"/>
      <c r="D812" s="77"/>
      <c r="E812" s="78"/>
      <c r="F812" s="483"/>
      <c r="G812" s="484"/>
      <c r="H812" s="51">
        <f>IF(DAY(H811)=DAY($H$810),IF(WEEKDAY(EDATE(H811,$D$822),3)&lt;5,EDATE(H811,$D$822),WORKDAY(EDATE(H811,$D$822),1)),IF(WEEKDAY(EDATE($H$810,$D$822*COUNT($H$810:H811)),3)&lt;5,EDATE($H$810,$D$822*COUNT($H$810:H811)),WORKDAY(EDATE($H$810,$D$822*COUNT($H$810:H811)),1)))</f>
        <v>43524</v>
      </c>
      <c r="I812" s="71" t="s">
        <v>13</v>
      </c>
      <c r="J812" s="52">
        <f>(IF(AND($D$825&lt;&gt;"",$D$825&gt;(AVERAGE(VLOOKUP(WORKDAY.INTL(H812,-7,1,),'Tasas-TC'!A:B,2,FALSE),VLOOKUP(WORKDAY.INTL(H811,-7,1,),'Tasas-TC'!A:B,2,FALSE))+$D$824)),$D$825,IF(AND($D$826&lt;&gt;"",$D$826&lt;(AVERAGE(VLOOKUP(WORKDAY.INTL(H812,-7,1,),'Tasas-TC'!A:B,2,FALSE),VLOOKUP(WORKDAY.INTL(H811,-7,1,),'Tasas-TC'!A:B,2,FALSE))+$D$824)),$D$826,(AVERAGE(VLOOKUP(WORKDAY.INTL(H812,-7,1,),'Tasas-TC'!A:B,2,FALSE),VLOOKUP(WORKDAY.INTL(H811,-7,1,),'Tasas-TC'!A:B,2,FALSE))+$D$824)))/360)*(H812-H811)*L811</f>
        <v>2300988.6171875</v>
      </c>
      <c r="K812" s="52">
        <f t="shared" si="75"/>
        <v>1582700</v>
      </c>
      <c r="L812" s="53">
        <f t="shared" si="76"/>
        <v>15834600</v>
      </c>
      <c r="M812" s="94">
        <f t="shared" si="77"/>
        <v>3883688.6171875</v>
      </c>
      <c r="N812" s="25"/>
      <c r="O812" s="195"/>
    </row>
    <row r="813" spans="1:17" ht="15.95" customHeight="1" x14ac:dyDescent="0.25">
      <c r="A813" s="121"/>
      <c r="B813" s="23"/>
      <c r="C813" s="60"/>
      <c r="D813" s="55" t="str">
        <f>+B801</f>
        <v>Coes Sudamérica I</v>
      </c>
      <c r="E813" s="64"/>
      <c r="F813" s="483"/>
      <c r="G813" s="484">
        <f>+J803</f>
        <v>0</v>
      </c>
      <c r="H813" s="51">
        <f>IF(DAY(H812)=DAY($H$810),IF(WEEKDAY(EDATE(H812,$D$822),3)&lt;5,EDATE(H812,$D$822),WORKDAY(EDATE(H812,$D$822),1)),IF(WEEKDAY(EDATE($H$810,$D$822*COUNT($H$810:H812)),3)&lt;5,EDATE($H$810,$D$822*COUNT($H$810:H812)),WORKDAY(EDATE($H$810,$D$822*COUNT($H$810:H812)),1)))</f>
        <v>43615</v>
      </c>
      <c r="I813" s="71" t="s">
        <v>13</v>
      </c>
      <c r="J813" s="52">
        <f>(IF(AND($D$825&lt;&gt;"",$D$825&gt;(AVERAGE(VLOOKUP(WORKDAY.INTL(H813,-7,1,),'Tasas-TC'!A:B,2,FALSE),VLOOKUP(WORKDAY.INTL(H812,-7,1,),'Tasas-TC'!A:B,2,FALSE))+$D$824)),$D$825,IF(AND($D$826&lt;&gt;"",$D$826&lt;(AVERAGE(VLOOKUP(WORKDAY.INTL(H813,-7,1,),'Tasas-TC'!A:B,2,FALSE),VLOOKUP(WORKDAY.INTL(H812,-7,1,),'Tasas-TC'!A:B,2,FALSE))+$D$824)),$D$826,(AVERAGE(VLOOKUP(WORKDAY.INTL(H813,-7,1,),'Tasas-TC'!A:B,2,FALSE),VLOOKUP(WORKDAY.INTL(H812,-7,1,),'Tasas-TC'!A:B,2,FALSE))+$D$824)))/360)*(H813-H812)*L812</f>
        <v>2182686.8984375</v>
      </c>
      <c r="K813" s="52">
        <f t="shared" si="75"/>
        <v>1582700</v>
      </c>
      <c r="L813" s="53">
        <f t="shared" si="76"/>
        <v>14251900</v>
      </c>
      <c r="M813" s="94">
        <f t="shared" si="77"/>
        <v>3765386.8984375</v>
      </c>
      <c r="N813" s="25"/>
      <c r="O813" s="195"/>
    </row>
    <row r="814" spans="1:17" ht="15.95" customHeight="1" x14ac:dyDescent="0.25">
      <c r="A814" s="121"/>
      <c r="B814" s="32"/>
      <c r="D814" s="644"/>
      <c r="E814" s="660"/>
      <c r="F814" s="483"/>
      <c r="G814" s="484"/>
      <c r="H814" s="51">
        <f>IF(DAY(H813)=DAY($H$810),IF(WEEKDAY(EDATE(H813,$D$822),3)&lt;5,EDATE(H813,$D$822),WORKDAY(EDATE(H813,$D$822),1)),IF(WEEKDAY(EDATE($H$810,$D$822*COUNT($H$810:H813)),3)&lt;5,EDATE($H$810,$D$822*COUNT($H$810:H813)),WORKDAY(EDATE($H$810,$D$822*COUNT($H$810:H813)),1)))</f>
        <v>43707</v>
      </c>
      <c r="I814" s="71" t="s">
        <v>13</v>
      </c>
      <c r="J814" s="52">
        <f>(IF(AND($D$825&lt;&gt;"",$D$825&gt;(AVERAGE(VLOOKUP(WORKDAY.INTL(H814,-7,1,),'Tasas-TC'!A:B,2,FALSE),VLOOKUP(WORKDAY.INTL(H813,-7,1,),'Tasas-TC'!A:B,2,FALSE))+$D$824)),$D$825,IF(AND($D$826&lt;&gt;"",$D$826&lt;(AVERAGE(VLOOKUP(WORKDAY.INTL(H814,-7,1,),'Tasas-TC'!A:B,2,FALSE),VLOOKUP(WORKDAY.INTL(H813,-7,1,),'Tasas-TC'!A:B,2,FALSE))+$D$824)),$D$826,(AVERAGE(VLOOKUP(WORKDAY.INTL(H814,-7,1,),'Tasas-TC'!A:B,2,FALSE),VLOOKUP(WORKDAY.INTL(H813,-7,1,),'Tasas-TC'!A:B,2,FALSE))+$D$824)))/360)*(H814-H813)*L813</f>
        <v>2382195.1878472222</v>
      </c>
      <c r="K814" s="52">
        <f t="shared" si="75"/>
        <v>1582700</v>
      </c>
      <c r="L814" s="53">
        <f t="shared" si="76"/>
        <v>12669200</v>
      </c>
      <c r="M814" s="94">
        <f t="shared" si="77"/>
        <v>3964895.1878472222</v>
      </c>
      <c r="N814" s="25"/>
      <c r="O814" s="195"/>
    </row>
    <row r="815" spans="1:17" ht="15.95" customHeight="1" x14ac:dyDescent="0.25">
      <c r="A815" s="121"/>
      <c r="B815" s="23"/>
      <c r="C815" s="638" t="s">
        <v>36</v>
      </c>
      <c r="D815" s="640"/>
      <c r="E815" s="36"/>
      <c r="F815" s="483"/>
      <c r="G815" s="484"/>
      <c r="H815" s="51">
        <f>IF(DAY(H814)=DAY($H$810),IF(WEEKDAY(EDATE(H814,$D$822),3)&lt;5,EDATE(H814,$D$822),WORKDAY(EDATE(H814,$D$822),1)),IF(WEEKDAY(EDATE($H$810,$D$822*COUNT($H$810:H814)),3)&lt;5,EDATE($H$810,$D$822*COUNT($H$810:H814)),WORKDAY(EDATE($H$810,$D$822*COUNT($H$810:H814)),1)))</f>
        <v>43801</v>
      </c>
      <c r="I815" s="71" t="s">
        <v>13</v>
      </c>
      <c r="J815" s="52">
        <f>(IF(AND($D$825&lt;&gt;"",$D$825&gt;(AVERAGE(VLOOKUP(WORKDAY.INTL(H815,-7,1,),'Tasas-TC'!A:B,2,FALSE),VLOOKUP(WORKDAY.INTL(H814,-7,1,),'Tasas-TC'!A:B,2,FALSE))+$D$824)),$D$825,IF(AND($D$826&lt;&gt;"",$D$826&lt;(AVERAGE(VLOOKUP(WORKDAY.INTL(H815,-7,1,),'Tasas-TC'!A:B,2,FALSE),VLOOKUP(WORKDAY.INTL(H814,-7,1,),'Tasas-TC'!A:B,2,FALSE))+$D$824)),$D$826,(AVERAGE(VLOOKUP(WORKDAY.INTL(H815,-7,1,),'Tasas-TC'!A:B,2,FALSE),VLOOKUP(WORKDAY.INTL(H814,-7,1,),'Tasas-TC'!A:B,2,FALSE))+$D$824)))/360)*(H815-H814)*L814</f>
        <v>2025158.4229166668</v>
      </c>
      <c r="K815" s="52">
        <f t="shared" si="75"/>
        <v>1582700</v>
      </c>
      <c r="L815" s="53">
        <f t="shared" si="76"/>
        <v>11086500</v>
      </c>
      <c r="M815" s="94">
        <f t="shared" si="77"/>
        <v>3607858.4229166666</v>
      </c>
      <c r="N815" s="25"/>
      <c r="O815" s="197">
        <f>+M891</f>
        <v>-4000000</v>
      </c>
      <c r="P815" s="197">
        <f>-M891</f>
        <v>4000000</v>
      </c>
      <c r="Q815" s="197"/>
    </row>
    <row r="816" spans="1:17" ht="15.95" customHeight="1" x14ac:dyDescent="0.25">
      <c r="A816" s="121"/>
      <c r="B816" s="23"/>
      <c r="C816" s="59"/>
      <c r="D816" s="62"/>
      <c r="E816" s="36"/>
      <c r="F816" s="483"/>
      <c r="G816" s="484"/>
      <c r="H816" s="51">
        <f>IF(DAY(H815)=DAY($H$810),IF(WEEKDAY(EDATE(H815,$D$822),3)&lt;5,EDATE(H815,$D$822),WORKDAY(EDATE(H815,$D$822),1)),IF(WEEKDAY(EDATE($H$810,$D$822*COUNT($H$810:H815)),3)&lt;5,EDATE($H$810,$D$822*COUNT($H$810:H815)),WORKDAY(EDATE($H$810,$D$822*COUNT($H$810:H815)),1)))</f>
        <v>43892</v>
      </c>
      <c r="I816" s="71" t="s">
        <v>13</v>
      </c>
      <c r="J816" s="52">
        <f>(IF(AND($D$825&lt;&gt;"",$D$825&gt;(AVERAGE(VLOOKUP(WORKDAY.INTL(H816,-7,1,),'Tasas-TC'!A:B,2,FALSE),VLOOKUP(WORKDAY.INTL(H815,-7,1,),'Tasas-TC'!A:B,2,FALSE))+$D$824)),$D$825,IF(AND($D$826&lt;&gt;"",$D$826&lt;(AVERAGE(VLOOKUP(WORKDAY.INTL(H816,-7,1,),'Tasas-TC'!A:B,2,FALSE),VLOOKUP(WORKDAY.INTL(H815,-7,1,),'Tasas-TC'!A:B,2,FALSE))+$D$824)),$D$826,(AVERAGE(VLOOKUP(WORKDAY.INTL(H816,-7,1,),'Tasas-TC'!A:B,2,FALSE),VLOOKUP(WORKDAY.INTL(H815,-7,1,),'Tasas-TC'!A:B,2,FALSE))+$D$824)))/360)*(H816-H815)*L815</f>
        <v>1377564.9908854167</v>
      </c>
      <c r="K816" s="52">
        <f t="shared" si="75"/>
        <v>1582700</v>
      </c>
      <c r="L816" s="53">
        <f t="shared" si="76"/>
        <v>9503800</v>
      </c>
      <c r="M816" s="94">
        <f t="shared" si="77"/>
        <v>2960264.990885417</v>
      </c>
      <c r="N816" s="25"/>
      <c r="O816" s="197">
        <f t="shared" ref="O816:O823" si="78">+M892+O815</f>
        <v>-3457500</v>
      </c>
      <c r="P816" s="197">
        <f t="shared" ref="P816:P823" si="79">+(M892/(1+$J$903)^((H892-$H$891)/365))/$P$815</f>
        <v>0.135625</v>
      </c>
      <c r="Q816" s="197">
        <f t="shared" ref="Q816:Q823" si="80">+P816*((H892-$H$891)/365)</f>
        <v>3.3441780821917802E-2</v>
      </c>
    </row>
    <row r="817" spans="1:17" ht="15.95" customHeight="1" x14ac:dyDescent="0.25">
      <c r="A817" s="121"/>
      <c r="B817" s="23"/>
      <c r="C817" s="59" t="s">
        <v>9</v>
      </c>
      <c r="D817" s="98" t="s">
        <v>18</v>
      </c>
      <c r="E817" s="36"/>
      <c r="F817" s="483"/>
      <c r="G817" s="484"/>
      <c r="H817" s="51">
        <f>IF(DAY(H816)=DAY($H$810),IF(WEEKDAY(EDATE(H816,$D$822),3)&lt;5,EDATE(H816,$D$822),WORKDAY(EDATE(H816,$D$822),1)),IF(WEEKDAY(EDATE($H$810,$D$822*COUNT($H$810:H816)),3)&lt;5,EDATE($H$810,$D$822*COUNT($H$810:H816)),WORKDAY(EDATE($H$810,$D$822*COUNT($H$810:H816)),1)))</f>
        <v>43983</v>
      </c>
      <c r="I817" s="71" t="s">
        <v>13</v>
      </c>
      <c r="J817" s="52">
        <f>(IF(AND($D$825&lt;&gt;"",$D$825&gt;(AVERAGE(VLOOKUP(WORKDAY.INTL(H817,-7,1,),'Tasas-TC'!A:B,2,FALSE),VLOOKUP(WORKDAY.INTL(H816,-7,1,),'Tasas-TC'!A:B,2,FALSE))+$D$824)),$D$825,IF(AND($D$826&lt;&gt;"",$D$826&lt;(AVERAGE(VLOOKUP(WORKDAY.INTL(H817,-7,1,),'Tasas-TC'!A:B,2,FALSE),VLOOKUP(WORKDAY.INTL(H816,-7,1,),'Tasas-TC'!A:B,2,FALSE))+$D$824)),$D$826,(AVERAGE(VLOOKUP(WORKDAY.INTL(H817,-7,1,),'Tasas-TC'!A:B,2,FALSE),VLOOKUP(WORKDAY.INTL(H816,-7,1,),'Tasas-TC'!A:B,2,FALSE))+$D$824)))/360)*(H817-H816)*L816</f>
        <v>954933.90416666644</v>
      </c>
      <c r="K817" s="52">
        <f t="shared" si="75"/>
        <v>1582700</v>
      </c>
      <c r="L817" s="53">
        <f t="shared" si="76"/>
        <v>7921100</v>
      </c>
      <c r="M817" s="94">
        <f t="shared" si="77"/>
        <v>2537633.9041666663</v>
      </c>
      <c r="N817" s="25"/>
      <c r="O817" s="197">
        <f t="shared" si="78"/>
        <v>-2904864.583333333</v>
      </c>
      <c r="P817" s="197">
        <f t="shared" si="79"/>
        <v>0.13815885416666668</v>
      </c>
      <c r="Q817" s="197">
        <f t="shared" si="80"/>
        <v>6.8511650970319637E-2</v>
      </c>
    </row>
    <row r="818" spans="1:17" ht="15.95" customHeight="1" x14ac:dyDescent="0.25">
      <c r="A818" s="121"/>
      <c r="B818" s="23"/>
      <c r="C818" s="59" t="s">
        <v>10</v>
      </c>
      <c r="D818" s="65">
        <v>43340</v>
      </c>
      <c r="E818" s="36"/>
      <c r="F818" s="483"/>
      <c r="G818" s="484"/>
      <c r="H818" s="51">
        <f>IF(DAY(H817)=DAY($H$810),IF(WEEKDAY(EDATE(H817,$D$822),3)&lt;5,EDATE(H817,$D$822),WORKDAY(EDATE(H817,$D$822),1)),IF(WEEKDAY(EDATE($H$810,$D$822*COUNT($H$810:H817)),3)&lt;5,EDATE($H$810,$D$822*COUNT($H$810:H817)),WORKDAY(EDATE($H$810,$D$822*COUNT($H$810:H817)),1)))</f>
        <v>44074</v>
      </c>
      <c r="I818" s="71" t="s">
        <v>13</v>
      </c>
      <c r="J818" s="52">
        <f>(IF(AND($D$825&lt;&gt;"",$D$825&gt;(AVERAGE(VLOOKUP(WORKDAY.INTL(H818,-7,1,),'Tasas-TC'!A:B,2,FALSE),VLOOKUP(WORKDAY.INTL(H817,-7,1,),'Tasas-TC'!A:B,2,FALSE))+$D$824)),$D$825,IF(AND($D$826&lt;&gt;"",$D$826&lt;(AVERAGE(VLOOKUP(WORKDAY.INTL(H818,-7,1,),'Tasas-TC'!A:B,2,FALSE),VLOOKUP(WORKDAY.INTL(H817,-7,1,),'Tasas-TC'!A:B,2,FALSE))+$D$824)),$D$826,(AVERAGE(VLOOKUP(WORKDAY.INTL(H818,-7,1,),'Tasas-TC'!A:B,2,FALSE),VLOOKUP(WORKDAY.INTL(H817,-7,1,),'Tasas-TC'!A:B,2,FALSE))+$D$824)))/360)*(H818-H817)*L817</f>
        <v>765871.35624999984</v>
      </c>
      <c r="K818" s="52">
        <f t="shared" si="75"/>
        <v>1582700</v>
      </c>
      <c r="L818" s="53">
        <f t="shared" si="76"/>
        <v>6338400</v>
      </c>
      <c r="M818" s="94">
        <f t="shared" si="77"/>
        <v>2348571.3562499997</v>
      </c>
      <c r="N818" s="25"/>
      <c r="O818" s="197">
        <f t="shared" si="78"/>
        <v>-2292489.583333333</v>
      </c>
      <c r="P818" s="197">
        <f t="shared" si="79"/>
        <v>0.15309375000000003</v>
      </c>
      <c r="Q818" s="197">
        <f t="shared" si="80"/>
        <v>0.11450573630136988</v>
      </c>
    </row>
    <row r="819" spans="1:17" ht="15.95" customHeight="1" x14ac:dyDescent="0.25">
      <c r="A819" s="121"/>
      <c r="B819" s="23"/>
      <c r="C819" s="59" t="s">
        <v>11</v>
      </c>
      <c r="D819" s="65">
        <v>43342</v>
      </c>
      <c r="E819" s="36"/>
      <c r="F819" s="483"/>
      <c r="G819" s="484"/>
      <c r="H819" s="51">
        <f>IF(DAY(H818)=DAY($H$810),IF(WEEKDAY(EDATE(H818,$D$822),3)&lt;5,EDATE(H818,$D$822),WORKDAY(EDATE(H818,$D$822),1)),IF(WEEKDAY(EDATE($H$810,$D$822*COUNT($H$810:H818)),3)&lt;5,EDATE($H$810,$D$822*COUNT($H$810:H818)),WORKDAY(EDATE($H$810,$D$822*COUNT($H$810:H818)),1)))</f>
        <v>44165</v>
      </c>
      <c r="I819" s="71" t="s">
        <v>13</v>
      </c>
      <c r="J819" s="52">
        <f>(IF(AND($D$825&lt;&gt;"",$D$825&gt;(AVERAGE(VLOOKUP(WORKDAY.INTL(H819,-7,1,),'Tasas-TC'!A:B,2,FALSE),VLOOKUP(WORKDAY.INTL(H818,-7,1,),'Tasas-TC'!A:B,2,FALSE))+$D$824)),$D$825,IF(AND($D$826&lt;&gt;"",$D$826&lt;(AVERAGE(VLOOKUP(WORKDAY.INTL(H819,-7,1,),'Tasas-TC'!A:B,2,FALSE),VLOOKUP(WORKDAY.INTL(H818,-7,1,),'Tasas-TC'!A:B,2,FALSE))+$D$824)),$D$826,(AVERAGE(VLOOKUP(WORKDAY.INTL(H819,-7,1,),'Tasas-TC'!A:B,2,FALSE),VLOOKUP(WORKDAY.INTL(H818,-7,1,),'Tasas-TC'!A:B,2,FALSE))+$D$824)))/360)*(H819-H818)*L818</f>
        <v>671925.42083333328</v>
      </c>
      <c r="K819" s="52">
        <f t="shared" si="75"/>
        <v>1582700</v>
      </c>
      <c r="L819" s="53">
        <f t="shared" si="76"/>
        <v>4755700</v>
      </c>
      <c r="M819" s="94">
        <f t="shared" si="77"/>
        <v>2254625.4208333334</v>
      </c>
      <c r="N819" s="25"/>
      <c r="O819" s="197">
        <f t="shared" si="78"/>
        <v>269732.63888888899</v>
      </c>
      <c r="P819" s="197">
        <f t="shared" si="79"/>
        <v>0.64055555555555554</v>
      </c>
      <c r="Q819" s="197">
        <f t="shared" si="80"/>
        <v>0.64055555555555554</v>
      </c>
    </row>
    <row r="820" spans="1:17" ht="15.95" customHeight="1" x14ac:dyDescent="0.25">
      <c r="A820" s="121"/>
      <c r="B820" s="23"/>
      <c r="C820" s="59" t="s">
        <v>12</v>
      </c>
      <c r="D820" s="65">
        <v>44438</v>
      </c>
      <c r="E820" s="36"/>
      <c r="F820" s="483"/>
      <c r="G820" s="484"/>
      <c r="H820" s="51">
        <f>IF(DAY(H819)=DAY($H$810),IF(WEEKDAY(EDATE(H819,$D$822),3)&lt;5,EDATE(H819,$D$822),WORKDAY(EDATE(H819,$D$822),1)),IF(WEEKDAY(EDATE($H$810,$D$822*COUNT($H$810:H819)),3)&lt;5,EDATE($H$810,$D$822*COUNT($H$810:H819)),WORKDAY(EDATE($H$810,$D$822*COUNT($H$810:H819)),1)))</f>
        <v>44256</v>
      </c>
      <c r="I820" s="71" t="s">
        <v>13</v>
      </c>
      <c r="J820" s="52">
        <f>(IF(AND($D$825&lt;&gt;"",$D$825&gt;(AVERAGE(VLOOKUP(WORKDAY.INTL(H820,-7,1,),'Tasas-TC'!A:B,2,FALSE),VLOOKUP(WORKDAY.INTL(H819,-7,1,),'Tasas-TC'!A:B,2,FALSE))+$D$824)),$D$825,IF(AND($D$826&lt;&gt;"",$D$826&lt;(AVERAGE(VLOOKUP(WORKDAY.INTL(H820,-7,1,),'Tasas-TC'!A:B,2,FALSE),VLOOKUP(WORKDAY.INTL(H819,-7,1,),'Tasas-TC'!A:B,2,FALSE))+$D$824)),$D$826,(AVERAGE(VLOOKUP(WORKDAY.INTL(H820,-7,1,),'Tasas-TC'!A:B,2,FALSE),VLOOKUP(WORKDAY.INTL(H819,-7,1,),'Tasas-TC'!A:B,2,FALSE))+$D$824)))/360)*(H820-H819)*L819</f>
        <v>529690.85677083337</v>
      </c>
      <c r="K820" s="52">
        <f t="shared" si="75"/>
        <v>1582700</v>
      </c>
      <c r="L820" s="53">
        <f t="shared" si="76"/>
        <v>3173000</v>
      </c>
      <c r="M820" s="94">
        <f t="shared" si="77"/>
        <v>2112390.8567708335</v>
      </c>
      <c r="N820" s="25"/>
      <c r="O820" s="197">
        <f t="shared" si="78"/>
        <v>460105.90277777787</v>
      </c>
      <c r="P820" s="197">
        <f t="shared" si="79"/>
        <v>4.7593315972222223E-2</v>
      </c>
      <c r="Q820" s="197">
        <f t="shared" si="80"/>
        <v>5.9459046803652965E-2</v>
      </c>
    </row>
    <row r="821" spans="1:17" ht="15.95" customHeight="1" x14ac:dyDescent="0.25">
      <c r="A821" s="121"/>
      <c r="B821" s="23"/>
      <c r="C821" s="59" t="s">
        <v>27</v>
      </c>
      <c r="D821" s="66">
        <v>19000000</v>
      </c>
      <c r="E821" s="41"/>
      <c r="F821" s="480"/>
      <c r="G821" s="484"/>
      <c r="H821" s="51">
        <f>IF(DAY(H820)=DAY($H$810),IF(WEEKDAY(EDATE(H820,$D$822),3)&lt;5,EDATE(H820,$D$822),WORKDAY(EDATE(H820,$D$822),1)),IF(WEEKDAY(EDATE($H$810,$D$822*COUNT($H$810:H820)),3)&lt;5,EDATE($H$810,$D$822*COUNT($H$810:H820)),WORKDAY(EDATE($H$810,$D$822*COUNT($H$810:H820)),1)))</f>
        <v>44347</v>
      </c>
      <c r="I821" s="71" t="s">
        <v>13</v>
      </c>
      <c r="J821" s="52">
        <f>(IF(AND($D$825&lt;&gt;"",$D$825&gt;(AVERAGE(VLOOKUP(WORKDAY.INTL(H821,-7,1,),'Tasas-TC'!A:B,2,FALSE),VLOOKUP(WORKDAY.INTL(H820,-7,1,),'Tasas-TC'!A:B,2,FALSE))+$D$824)),$D$825,IF(AND($D$826&lt;&gt;"",$D$826&lt;(AVERAGE(VLOOKUP(WORKDAY.INTL(H821,-7,1,),'Tasas-TC'!A:B,2,FALSE),VLOOKUP(WORKDAY.INTL(H820,-7,1,),'Tasas-TC'!A:B,2,FALSE))+$D$824)),$D$826,(AVERAGE(VLOOKUP(WORKDAY.INTL(H821,-7,1,),'Tasas-TC'!A:B,2,FALSE),VLOOKUP(WORKDAY.INTL(H820,-7,1,),'Tasas-TC'!A:B,2,FALSE))+$D$824)))/360)*(H821-H820)*L820</f>
        <v>354411.98090277781</v>
      </c>
      <c r="K821" s="52">
        <f t="shared" si="75"/>
        <v>1582700</v>
      </c>
      <c r="L821" s="53">
        <f t="shared" si="76"/>
        <v>1590300</v>
      </c>
      <c r="M821" s="94">
        <f t="shared" si="77"/>
        <v>1937111.9809027778</v>
      </c>
      <c r="N821" s="25"/>
      <c r="O821" s="197">
        <f t="shared" si="78"/>
        <v>628993.05555555562</v>
      </c>
      <c r="P821" s="197">
        <f t="shared" si="79"/>
        <v>4.2221788194444443E-2</v>
      </c>
      <c r="Q821" s="197">
        <f t="shared" si="80"/>
        <v>6.3274844225646873E-2</v>
      </c>
    </row>
    <row r="822" spans="1:17" ht="15.95" customHeight="1" x14ac:dyDescent="0.25">
      <c r="A822" s="121"/>
      <c r="B822" s="23"/>
      <c r="C822" s="59" t="s">
        <v>26</v>
      </c>
      <c r="D822" s="66">
        <v>3</v>
      </c>
      <c r="E822" s="36"/>
      <c r="F822" s="480"/>
      <c r="G822" s="484"/>
      <c r="H822" s="51">
        <f>IF(DAY(H821)=DAY($H$810),IF(WEEKDAY(EDATE(H821,$D$822),3)&lt;5,EDATE(H821,$D$822),WORKDAY(EDATE(H821,$D$822),1)),IF(WEEKDAY(EDATE($H$810,$D$822*COUNT($H$810:H821)),3)&lt;5,EDATE($H$810,$D$822*COUNT($H$810:H821)),WORKDAY(EDATE($H$810,$D$822*COUNT($H$810:H821)),1)))</f>
        <v>44438</v>
      </c>
      <c r="I822" s="71" t="s">
        <v>13</v>
      </c>
      <c r="J822" s="52">
        <f>(IF(AND($D$825&lt;&gt;"",$D$825&gt;(AVERAGE(VLOOKUP(WORKDAY.INTL(H822,-7,1,),'Tasas-TC'!A:B,2,FALSE),VLOOKUP(WORKDAY.INTL(H821,-7,1,),'Tasas-TC'!A:B,2,FALSE))+$D$824)),$D$825,IF(AND($D$826&lt;&gt;"",$D$826&lt;(AVERAGE(VLOOKUP(WORKDAY.INTL(H822,-7,1,),'Tasas-TC'!A:B,2,FALSE),VLOOKUP(WORKDAY.INTL(H821,-7,1,),'Tasas-TC'!A:B,2,FALSE))+$D$824)),$D$826,(AVERAGE(VLOOKUP(WORKDAY.INTL(H822,-7,1,),'Tasas-TC'!A:B,2,FALSE),VLOOKUP(WORKDAY.INTL(H821,-7,1,),'Tasas-TC'!A:B,2,FALSE))+$D$824)))/360)*(H822-H821)*L821</f>
        <v>177504.81328125001</v>
      </c>
      <c r="K822" s="52">
        <f>+IF(OR(I822="A + C",I822="A"),$D$821*$D$828,0)</f>
        <v>1590300</v>
      </c>
      <c r="L822" s="53">
        <f t="shared" si="76"/>
        <v>0</v>
      </c>
      <c r="M822" s="94">
        <f t="shared" si="77"/>
        <v>1767804.81328125</v>
      </c>
      <c r="N822" s="25"/>
      <c r="O822" s="197">
        <f t="shared" si="78"/>
        <v>816666.66666666674</v>
      </c>
      <c r="P822" s="197">
        <f t="shared" si="79"/>
        <v>4.6918402777777778E-2</v>
      </c>
      <c r="Q822" s="197">
        <f t="shared" si="80"/>
        <v>8.2139340753424661E-2</v>
      </c>
    </row>
    <row r="823" spans="1:17" ht="15.95" customHeight="1" x14ac:dyDescent="0.25">
      <c r="A823" s="121"/>
      <c r="B823" s="23"/>
      <c r="C823" s="59" t="s">
        <v>19</v>
      </c>
      <c r="D823" s="67" t="s">
        <v>20</v>
      </c>
      <c r="E823" s="43"/>
      <c r="F823" s="480"/>
      <c r="G823" s="484"/>
      <c r="H823" s="54"/>
      <c r="I823" s="104"/>
      <c r="J823" s="105"/>
      <c r="K823" s="105"/>
      <c r="L823" s="106"/>
      <c r="M823" s="94"/>
      <c r="N823" s="25"/>
      <c r="O823" s="197">
        <f t="shared" si="78"/>
        <v>3019027.777777778</v>
      </c>
      <c r="P823" s="197">
        <f t="shared" si="79"/>
        <v>0.5505902777777778</v>
      </c>
      <c r="Q823" s="197">
        <f t="shared" si="80"/>
        <v>1.1057059550989345</v>
      </c>
    </row>
    <row r="824" spans="1:17" ht="15.95" customHeight="1" x14ac:dyDescent="0.25">
      <c r="A824" s="121"/>
      <c r="B824" s="23"/>
      <c r="C824" s="59" t="s">
        <v>14</v>
      </c>
      <c r="D824" s="68">
        <v>0.1</v>
      </c>
      <c r="E824" s="43"/>
      <c r="F824" s="480"/>
      <c r="G824" s="484"/>
      <c r="H824" s="35"/>
      <c r="I824" s="109"/>
      <c r="J824" s="109"/>
      <c r="K824" s="109"/>
      <c r="L824" s="109"/>
      <c r="M824" s="109"/>
      <c r="N824" s="25"/>
      <c r="O824" s="197"/>
      <c r="P824" s="29"/>
    </row>
    <row r="825" spans="1:17" ht="15.95" customHeight="1" x14ac:dyDescent="0.25">
      <c r="A825" s="121"/>
      <c r="B825" s="23"/>
      <c r="C825" s="59" t="s">
        <v>31</v>
      </c>
      <c r="D825" s="68"/>
      <c r="E825" s="43"/>
      <c r="F825" s="480"/>
      <c r="G825" s="484"/>
      <c r="H825" s="656" t="s">
        <v>43</v>
      </c>
      <c r="I825" s="656"/>
      <c r="J825" s="92">
        <v>0</v>
      </c>
      <c r="K825" s="92"/>
      <c r="L825" s="24"/>
      <c r="M825" s="24"/>
      <c r="N825" s="25"/>
      <c r="O825" s="197"/>
    </row>
    <row r="826" spans="1:17" ht="15.95" customHeight="1" x14ac:dyDescent="0.25">
      <c r="A826" s="121"/>
      <c r="B826" s="23"/>
      <c r="C826" s="59" t="s">
        <v>32</v>
      </c>
      <c r="D826" s="68"/>
      <c r="E826" s="44"/>
      <c r="F826" s="480"/>
      <c r="G826" s="484"/>
      <c r="H826" s="657"/>
      <c r="I826" s="657"/>
      <c r="J826" s="392"/>
      <c r="K826" s="24"/>
      <c r="L826" s="33"/>
      <c r="M826" s="33"/>
      <c r="N826" s="25"/>
      <c r="O826" s="197"/>
      <c r="P826" s="37"/>
    </row>
    <row r="827" spans="1:17" ht="15.95" customHeight="1" x14ac:dyDescent="0.25">
      <c r="A827" s="121"/>
      <c r="B827" s="23"/>
      <c r="C827" s="59" t="s">
        <v>110</v>
      </c>
      <c r="D827" s="68">
        <v>8.3299999999999999E-2</v>
      </c>
      <c r="E827" s="24"/>
      <c r="F827" s="480"/>
      <c r="G827" s="484"/>
      <c r="H827" s="24"/>
      <c r="I827" s="24"/>
      <c r="J827" s="24"/>
      <c r="K827" s="24"/>
      <c r="L827" s="24"/>
      <c r="M827" s="24"/>
      <c r="N827" s="25"/>
      <c r="O827" s="197"/>
    </row>
    <row r="828" spans="1:17" ht="15.95" customHeight="1" x14ac:dyDescent="0.25">
      <c r="A828" s="121"/>
      <c r="B828" s="23"/>
      <c r="C828" s="59" t="s">
        <v>55</v>
      </c>
      <c r="D828" s="68">
        <v>8.3699999999999997E-2</v>
      </c>
      <c r="E828" s="24"/>
      <c r="F828" s="480"/>
      <c r="G828" s="484"/>
      <c r="H828" s="638" t="s">
        <v>44</v>
      </c>
      <c r="I828" s="639"/>
      <c r="J828" s="639"/>
      <c r="K828" s="639"/>
      <c r="L828" s="639"/>
      <c r="M828" s="640"/>
      <c r="N828" s="25"/>
      <c r="O828" s="195"/>
    </row>
    <row r="829" spans="1:17" ht="15.95" customHeight="1" x14ac:dyDescent="0.25">
      <c r="A829" s="121"/>
      <c r="B829" s="23"/>
      <c r="C829" s="60"/>
      <c r="D829" s="110"/>
      <c r="E829" s="24"/>
      <c r="F829" s="480"/>
      <c r="G829" s="484"/>
      <c r="H829" s="23"/>
      <c r="I829" s="24"/>
      <c r="J829" s="24"/>
      <c r="K829" s="24"/>
      <c r="L829" s="24"/>
      <c r="M829" s="25"/>
      <c r="N829" s="25"/>
      <c r="O829" s="195"/>
    </row>
    <row r="830" spans="1:17" ht="15.95" customHeight="1" x14ac:dyDescent="0.25">
      <c r="A830" s="121"/>
      <c r="B830" s="23"/>
      <c r="C830" s="24"/>
      <c r="D830" s="24"/>
      <c r="E830" s="24"/>
      <c r="F830" s="480"/>
      <c r="G830" s="485"/>
      <c r="H830" s="23"/>
      <c r="I830" s="24"/>
      <c r="J830" s="24"/>
      <c r="K830" s="24"/>
      <c r="L830" s="24"/>
      <c r="M830" s="25"/>
      <c r="N830" s="25"/>
      <c r="O830" s="195"/>
    </row>
    <row r="831" spans="1:17" ht="15.95" customHeight="1" x14ac:dyDescent="0.25">
      <c r="A831" s="121"/>
      <c r="B831" s="23"/>
      <c r="C831" s="24"/>
      <c r="D831" s="24"/>
      <c r="E831" s="24"/>
      <c r="F831" s="480"/>
      <c r="G831" s="485"/>
      <c r="H831" s="96"/>
      <c r="I831" s="35"/>
      <c r="J831" s="24"/>
      <c r="K831" s="24"/>
      <c r="L831" s="24"/>
      <c r="M831" s="25"/>
      <c r="N831" s="25"/>
      <c r="O831" s="195"/>
    </row>
    <row r="832" spans="1:17" ht="15.95" customHeight="1" x14ac:dyDescent="0.25">
      <c r="A832" s="121"/>
      <c r="B832" s="23"/>
      <c r="C832" s="24"/>
      <c r="D832" s="24"/>
      <c r="E832" s="24"/>
      <c r="F832" s="480"/>
      <c r="G832" s="485"/>
      <c r="H832" s="23"/>
      <c r="I832" s="24"/>
      <c r="J832" s="24"/>
      <c r="K832" s="24"/>
      <c r="L832" s="24"/>
      <c r="M832" s="25"/>
      <c r="N832" s="25"/>
      <c r="O832" s="195"/>
    </row>
    <row r="833" spans="1:15" ht="15.95" customHeight="1" x14ac:dyDescent="0.25">
      <c r="A833" s="121"/>
      <c r="B833" s="23"/>
      <c r="C833" s="24"/>
      <c r="D833" s="24"/>
      <c r="E833" s="24"/>
      <c r="F833" s="480"/>
      <c r="G833" s="485"/>
      <c r="H833" s="23"/>
      <c r="I833" s="24"/>
      <c r="J833" s="24"/>
      <c r="K833" s="24"/>
      <c r="L833" s="24"/>
      <c r="M833" s="25"/>
      <c r="N833" s="25"/>
      <c r="O833" s="195"/>
    </row>
    <row r="834" spans="1:15" ht="15.95" customHeight="1" x14ac:dyDescent="0.25">
      <c r="A834" s="121"/>
      <c r="B834" s="23"/>
      <c r="C834" s="24"/>
      <c r="D834" s="24"/>
      <c r="E834" s="24"/>
      <c r="F834" s="480"/>
      <c r="G834" s="485"/>
      <c r="H834" s="23"/>
      <c r="I834" s="24"/>
      <c r="J834" s="24"/>
      <c r="K834" s="24"/>
      <c r="L834" s="24"/>
      <c r="M834" s="25"/>
      <c r="N834" s="25"/>
      <c r="O834" s="195"/>
    </row>
    <row r="835" spans="1:15" ht="15.95" customHeight="1" x14ac:dyDescent="0.25">
      <c r="A835" s="121"/>
      <c r="B835" s="23"/>
      <c r="C835" s="24"/>
      <c r="D835" s="24"/>
      <c r="E835" s="24"/>
      <c r="F835" s="480"/>
      <c r="G835" s="485"/>
      <c r="H835" s="23"/>
      <c r="I835" s="24"/>
      <c r="J835" s="24"/>
      <c r="K835" s="24"/>
      <c r="L835" s="24"/>
      <c r="M835" s="25"/>
      <c r="N835" s="25"/>
      <c r="O835" s="195"/>
    </row>
    <row r="836" spans="1:15" ht="15.95" customHeight="1" x14ac:dyDescent="0.25">
      <c r="A836" s="121"/>
      <c r="B836" s="23"/>
      <c r="C836" s="24"/>
      <c r="D836" s="24"/>
      <c r="E836" s="24"/>
      <c r="F836" s="480"/>
      <c r="G836" s="485"/>
      <c r="H836" s="23"/>
      <c r="I836" s="24"/>
      <c r="J836" s="24"/>
      <c r="K836" s="24"/>
      <c r="L836" s="24"/>
      <c r="M836" s="25"/>
      <c r="N836" s="25"/>
      <c r="O836" s="195"/>
    </row>
    <row r="837" spans="1:15" ht="15.95" customHeight="1" x14ac:dyDescent="0.25">
      <c r="A837" s="121"/>
      <c r="B837" s="23"/>
      <c r="C837" s="24"/>
      <c r="D837" s="24"/>
      <c r="E837" s="24"/>
      <c r="F837" s="480"/>
      <c r="G837" s="485"/>
      <c r="H837" s="23"/>
      <c r="I837" s="24"/>
      <c r="J837" s="24"/>
      <c r="K837" s="24"/>
      <c r="L837" s="24"/>
      <c r="M837" s="25"/>
      <c r="N837" s="25"/>
      <c r="O837" s="195"/>
    </row>
    <row r="838" spans="1:15" ht="15.95" customHeight="1" x14ac:dyDescent="0.25">
      <c r="A838" s="121"/>
      <c r="B838" s="23"/>
      <c r="C838" s="24"/>
      <c r="D838" s="24"/>
      <c r="E838" s="24"/>
      <c r="F838" s="480"/>
      <c r="G838" s="485"/>
      <c r="H838" s="23"/>
      <c r="I838" s="24"/>
      <c r="J838" s="24"/>
      <c r="K838" s="24"/>
      <c r="L838" s="24"/>
      <c r="M838" s="25"/>
      <c r="N838" s="25"/>
      <c r="O838" s="195"/>
    </row>
    <row r="839" spans="1:15" ht="15.95" customHeight="1" x14ac:dyDescent="0.25">
      <c r="A839" s="121"/>
      <c r="B839" s="23"/>
      <c r="C839" s="24"/>
      <c r="D839" s="24"/>
      <c r="E839" s="24"/>
      <c r="F839" s="480"/>
      <c r="G839" s="485"/>
      <c r="H839" s="23"/>
      <c r="I839" s="24"/>
      <c r="J839" s="24"/>
      <c r="K839" s="24"/>
      <c r="L839" s="24"/>
      <c r="M839" s="25"/>
      <c r="N839" s="25"/>
      <c r="O839" s="195"/>
    </row>
    <row r="840" spans="1:15" ht="15.95" customHeight="1" x14ac:dyDescent="0.25">
      <c r="A840" s="121"/>
      <c r="B840" s="23"/>
      <c r="C840" s="24"/>
      <c r="D840" s="24"/>
      <c r="E840" s="24"/>
      <c r="F840" s="480"/>
      <c r="G840" s="485"/>
      <c r="H840" s="23"/>
      <c r="I840" s="24"/>
      <c r="J840" s="24"/>
      <c r="K840" s="24"/>
      <c r="L840" s="24"/>
      <c r="M840" s="25"/>
      <c r="N840" s="25"/>
      <c r="O840" s="195"/>
    </row>
    <row r="841" spans="1:15" ht="15.95" customHeight="1" x14ac:dyDescent="0.25">
      <c r="A841" s="121"/>
      <c r="B841" s="23"/>
      <c r="C841" s="24"/>
      <c r="D841" s="24"/>
      <c r="E841" s="24"/>
      <c r="F841" s="480"/>
      <c r="G841" s="485"/>
      <c r="H841" s="26"/>
      <c r="I841" s="27"/>
      <c r="J841" s="27"/>
      <c r="K841" s="27"/>
      <c r="L841" s="27"/>
      <c r="M841" s="28"/>
      <c r="N841" s="25"/>
      <c r="O841" s="195"/>
    </row>
    <row r="842" spans="1:15" ht="15.95" customHeight="1" x14ac:dyDescent="0.25">
      <c r="A842" s="121"/>
      <c r="B842" s="26"/>
      <c r="C842" s="27"/>
      <c r="D842" s="27"/>
      <c r="E842" s="27"/>
      <c r="F842" s="481"/>
      <c r="G842" s="486"/>
      <c r="H842" s="27"/>
      <c r="I842" s="27"/>
      <c r="J842" s="27"/>
      <c r="K842" s="27"/>
      <c r="L842" s="27"/>
      <c r="M842" s="27"/>
      <c r="N842" s="28"/>
      <c r="O842" s="195"/>
    </row>
    <row r="843" spans="1:15" ht="15.95" customHeight="1" x14ac:dyDescent="0.25">
      <c r="A843" s="121"/>
      <c r="B843" s="23"/>
      <c r="C843" s="24"/>
      <c r="D843" s="24"/>
      <c r="E843" s="24"/>
      <c r="F843" s="480"/>
      <c r="G843" s="480"/>
      <c r="H843" s="24"/>
      <c r="I843" s="24"/>
      <c r="J843" s="24"/>
      <c r="K843" s="24"/>
      <c r="L843" s="24"/>
      <c r="M843" s="24"/>
      <c r="N843" s="25"/>
      <c r="O843" s="195"/>
    </row>
    <row r="844" spans="1:15" ht="15.95" customHeight="1" x14ac:dyDescent="0.25">
      <c r="A844" s="121"/>
      <c r="B844" s="661" t="s">
        <v>111</v>
      </c>
      <c r="C844" s="662"/>
      <c r="D844" s="662"/>
      <c r="E844" s="662"/>
      <c r="F844" s="662"/>
      <c r="G844" s="662"/>
      <c r="H844" s="662"/>
      <c r="I844" s="662"/>
      <c r="J844" s="662"/>
      <c r="K844" s="662"/>
      <c r="L844" s="662"/>
      <c r="M844" s="662"/>
      <c r="N844" s="663"/>
      <c r="O844" s="195"/>
    </row>
    <row r="845" spans="1:15" ht="15.95" customHeight="1" x14ac:dyDescent="0.25">
      <c r="A845" s="121"/>
      <c r="B845" s="23"/>
      <c r="C845" s="24"/>
      <c r="D845" s="24"/>
      <c r="E845" s="24"/>
      <c r="F845" s="483"/>
      <c r="G845" s="484"/>
      <c r="H845" s="31"/>
      <c r="I845" s="31"/>
      <c r="J845" s="24"/>
      <c r="K845" s="24"/>
      <c r="L845" s="24"/>
      <c r="M845" s="24"/>
      <c r="N845" s="25"/>
      <c r="O845" s="195"/>
    </row>
    <row r="846" spans="1:15" ht="15.95" customHeight="1" x14ac:dyDescent="0.25">
      <c r="A846" s="121"/>
      <c r="B846" s="23"/>
      <c r="C846" s="638" t="s">
        <v>37</v>
      </c>
      <c r="D846" s="639"/>
      <c r="E846" s="640"/>
      <c r="F846" s="483"/>
      <c r="G846" s="484"/>
      <c r="H846" s="641" t="s">
        <v>28</v>
      </c>
      <c r="I846" s="642"/>
      <c r="J846" s="39">
        <f>+$D$865-SUMIF($H$852:$H$861,"&lt;"&amp;$M$4,$K$852:$K$861)</f>
        <v>0</v>
      </c>
      <c r="K846" s="24"/>
      <c r="L846" s="24"/>
      <c r="M846" s="24"/>
      <c r="N846" s="25"/>
      <c r="O846" s="195"/>
    </row>
    <row r="847" spans="1:15" ht="15.95" customHeight="1" x14ac:dyDescent="0.25">
      <c r="A847" s="121"/>
      <c r="B847" s="23"/>
      <c r="C847" s="58"/>
      <c r="D847" s="664"/>
      <c r="E847" s="665"/>
      <c r="F847" s="483"/>
      <c r="G847" s="484"/>
      <c r="H847" s="645" t="s">
        <v>29</v>
      </c>
      <c r="I847" s="646"/>
      <c r="J847" s="40">
        <f>+$D$864</f>
        <v>44346</v>
      </c>
      <c r="K847" s="24"/>
      <c r="L847" s="24"/>
      <c r="M847" s="24"/>
      <c r="N847" s="25"/>
      <c r="O847" s="195"/>
    </row>
    <row r="848" spans="1:15" ht="20.100000000000001" customHeight="1" x14ac:dyDescent="0.25">
      <c r="A848" s="121"/>
      <c r="B848" s="23"/>
      <c r="C848" s="59" t="s">
        <v>25</v>
      </c>
      <c r="D848" s="658"/>
      <c r="E848" s="659"/>
      <c r="F848" s="483"/>
      <c r="G848" s="484"/>
      <c r="H848" s="649" t="s">
        <v>30</v>
      </c>
      <c r="I848" s="650"/>
      <c r="J848" s="42" t="str">
        <f t="array" ref="J848">+IF(H860&gt;=M4,MIN(IF($H$852:$H$861&gt;=$M$4,$H$852:$H$861,"")),"vencida")</f>
        <v>vencida</v>
      </c>
      <c r="K848" s="24"/>
      <c r="L848" s="24"/>
      <c r="M848" s="24"/>
      <c r="N848" s="25"/>
      <c r="O848" s="195"/>
    </row>
    <row r="849" spans="1:17" ht="15.95" customHeight="1" x14ac:dyDescent="0.25">
      <c r="A849" s="121"/>
      <c r="B849" s="23"/>
      <c r="C849" s="59" t="s">
        <v>6</v>
      </c>
      <c r="D849" s="658" t="s">
        <v>112</v>
      </c>
      <c r="E849" s="659"/>
      <c r="F849" s="483"/>
      <c r="G849" s="484"/>
      <c r="H849" s="24"/>
      <c r="I849" s="24"/>
      <c r="J849" s="24"/>
      <c r="K849" s="24"/>
      <c r="L849" s="24"/>
      <c r="M849" s="24"/>
      <c r="N849" s="25"/>
      <c r="O849" s="194" t="str">
        <f>+D1008</f>
        <v>BANCO SUPERVIELLE S.A</v>
      </c>
    </row>
    <row r="850" spans="1:17" ht="20.100000000000001" customHeight="1" x14ac:dyDescent="0.25">
      <c r="A850" s="121"/>
      <c r="B850" s="23"/>
      <c r="C850" s="59" t="s">
        <v>8</v>
      </c>
      <c r="D850" s="658" t="s">
        <v>17</v>
      </c>
      <c r="E850" s="659"/>
      <c r="F850" s="483"/>
      <c r="G850" s="484"/>
      <c r="H850" s="651" t="s">
        <v>41</v>
      </c>
      <c r="I850" s="652"/>
      <c r="J850" s="652"/>
      <c r="K850" s="652"/>
      <c r="L850" s="653"/>
      <c r="M850" s="24"/>
      <c r="N850" s="25"/>
      <c r="O850" s="195"/>
    </row>
    <row r="851" spans="1:17" ht="15.95" customHeight="1" x14ac:dyDescent="0.25">
      <c r="A851" s="121"/>
      <c r="B851" s="23"/>
      <c r="C851" s="59" t="s">
        <v>33</v>
      </c>
      <c r="D851" s="73" t="s">
        <v>325</v>
      </c>
      <c r="E851" s="273">
        <v>0.68</v>
      </c>
      <c r="F851" s="483">
        <f>+E851*$J$846</f>
        <v>0</v>
      </c>
      <c r="G851" s="484"/>
      <c r="H851" s="81" t="s">
        <v>0</v>
      </c>
      <c r="I851" s="82" t="s">
        <v>2</v>
      </c>
      <c r="J851" s="82" t="s">
        <v>3</v>
      </c>
      <c r="K851" s="82" t="s">
        <v>4</v>
      </c>
      <c r="L851" s="83" t="s">
        <v>5</v>
      </c>
      <c r="M851" s="82" t="s">
        <v>44</v>
      </c>
      <c r="N851" s="25"/>
      <c r="O851" s="194" t="str">
        <f>+IF(J1006="vencida",IF(D1008='Reporte - Oscuro'!$C$40,'Reporte - Oscuro'!$C$40&amp;" vencida",IF(D1008='Reporte - Oscuro'!$C$41,'Reporte - Oscuro'!$C$41&amp;" vencida",IF(D1008='Reporte - Oscuro'!$C$42,'Reporte - Oscuro'!$C$42&amp;" vencida",'Reporte - Oscuro'!$C$43&amp;" vencida"))),D1008&amp;" vigente")</f>
        <v>BANCO SUPERVIELLE S.A vigente</v>
      </c>
    </row>
    <row r="852" spans="1:17" ht="15.95" customHeight="1" x14ac:dyDescent="0.25">
      <c r="A852" s="121"/>
      <c r="B852" s="23"/>
      <c r="C852" s="59" t="s">
        <v>33</v>
      </c>
      <c r="D852" s="73" t="s">
        <v>308</v>
      </c>
      <c r="E852" s="273">
        <v>0.32</v>
      </c>
      <c r="F852" s="483">
        <f>+E852*$J$846</f>
        <v>0</v>
      </c>
      <c r="G852" s="484"/>
      <c r="H852" s="45"/>
      <c r="I852" s="46"/>
      <c r="J852" s="46"/>
      <c r="K852" s="46"/>
      <c r="L852" s="47"/>
      <c r="M852" s="23"/>
      <c r="N852" s="25"/>
      <c r="O852" s="195"/>
    </row>
    <row r="853" spans="1:17" ht="15.95" customHeight="1" x14ac:dyDescent="0.25">
      <c r="A853" s="121"/>
      <c r="B853" s="23"/>
      <c r="C853" s="59" t="s">
        <v>34</v>
      </c>
      <c r="D853" s="658" t="s">
        <v>48</v>
      </c>
      <c r="E853" s="659"/>
      <c r="F853" s="483"/>
      <c r="G853" s="484"/>
      <c r="H853" s="48">
        <f>+$D$863</f>
        <v>43615</v>
      </c>
      <c r="I853" s="70"/>
      <c r="J853" s="49"/>
      <c r="K853" s="49"/>
      <c r="L853" s="50">
        <f>+D865</f>
        <v>23538460</v>
      </c>
      <c r="M853" s="93">
        <f>-L853</f>
        <v>-23538460</v>
      </c>
      <c r="N853" s="25"/>
      <c r="O853" s="195"/>
    </row>
    <row r="854" spans="1:17" ht="15.95" customHeight="1" x14ac:dyDescent="0.25">
      <c r="A854" s="121"/>
      <c r="B854" s="23"/>
      <c r="C854" s="79" t="s">
        <v>38</v>
      </c>
      <c r="D854" s="75"/>
      <c r="E854" s="76"/>
      <c r="F854" s="483"/>
      <c r="G854" s="484"/>
      <c r="H854" s="51">
        <f>IF(DAY(H853)=DAY($H$853),IF(WEEKDAY(EDATE(H853,$D$866),3)&lt;5,EDATE(H853,$D$866),WORKDAY(EDATE(H853,$D$866),1)),IF(WEEKDAY(EDATE($H$853,$D$866*COUNT($H$853:H853)),3)&lt;5,EDATE($H$853,$D$866*COUNT($H$853:H853)),WORKDAY(EDATE($H$853,$D$866*COUNT($H$853:H853)),1)))</f>
        <v>43801</v>
      </c>
      <c r="I854" s="71" t="s">
        <v>13</v>
      </c>
      <c r="J854" s="52">
        <f>(IF(AND($D$870&lt;&gt;"",$D$870&gt;(AVERAGE(VLOOKUP(WORKDAY.INTL(H854,-7,1,),'Tasas-TC'!A:B,2,FALSE),VLOOKUP(WORKDAY.INTL(H853,-7,1,),'Tasas-TC'!A:B,2,FALSE))+$D$869)),$D$870,IF(AND($D$871&lt;&gt;"",$D$871&lt;(AVERAGE(VLOOKUP(WORKDAY.INTL(H854,-7,1,),'Tasas-TC'!A:B,2,FALSE),VLOOKUP(WORKDAY.INTL(H853,-7,1,),'Tasas-TC'!A:B,2,FALSE))+$D$869)),$D$871,(AVERAGE(VLOOKUP(WORKDAY.INTL(H854,-7,1,),'Tasas-TC'!A:B,2,FALSE),VLOOKUP(WORKDAY.INTL(H853,-7,1,),'Tasas-TC'!A:B,2,FALSE))+$D$869)))/360)*(H854-H853)*L853</f>
        <v>7114499.5349999992</v>
      </c>
      <c r="K854" s="52">
        <f t="shared" ref="K854:K859" si="81">+IF(OR(I854="A + C",I854="A"),$D$865*$D$872,0)</f>
        <v>3295384.4000000004</v>
      </c>
      <c r="L854" s="53">
        <f t="shared" ref="L854:L860" si="82">+L853-K854</f>
        <v>20243075.600000001</v>
      </c>
      <c r="M854" s="94">
        <f t="shared" ref="M854:M860" si="83">+J854+K854</f>
        <v>10409883.934999999</v>
      </c>
      <c r="N854" s="25"/>
      <c r="O854" s="195"/>
    </row>
    <row r="855" spans="1:17" ht="15.95" customHeight="1" x14ac:dyDescent="0.25">
      <c r="A855" s="121"/>
      <c r="B855" s="23"/>
      <c r="C855" s="59"/>
      <c r="D855" s="73"/>
      <c r="E855" s="74"/>
      <c r="F855" s="483"/>
      <c r="G855" s="484"/>
      <c r="H855" s="51">
        <f>IF(DAY(H854)=DAY($H$853),IF(WEEKDAY(EDATE(H854,$D$867),3)&lt;5,EDATE(H854,$D$867),WORKDAY(EDATE(H854,$D$867),1)),IF(WEEKDAY(EDATE($H$853,$D$866+$D$867*(COUNT($H$853:H854)-1)),3)&lt;5,EDATE($H$853,$D$866+$D$867*(COUNT($H$853:H854)-1)),WORKDAY(EDATE($H$853,$D$866+$D$867*(COUNT($H$853:H854)-1)),1)))</f>
        <v>43892</v>
      </c>
      <c r="I855" s="71" t="s">
        <v>13</v>
      </c>
      <c r="J855" s="52">
        <f>(IF(AND($D$870&lt;&gt;"",$D$870&gt;(AVERAGE(VLOOKUP(WORKDAY.INTL(H855,-7,1,),'Tasas-TC'!A:B,2,FALSE),VLOOKUP(WORKDAY.INTL(H854,-7,1,),'Tasas-TC'!A:B,2,FALSE))+$D$869)),$D$870,IF(AND($D$871&lt;&gt;"",$D$871&lt;(AVERAGE(VLOOKUP(WORKDAY.INTL(H855,-7,1,),'Tasas-TC'!A:B,2,FALSE),VLOOKUP(WORKDAY.INTL(H854,-7,1,),'Tasas-TC'!A:B,2,FALSE))+$D$869)),$D$871,(AVERAGE(VLOOKUP(WORKDAY.INTL(H855,-7,1,),'Tasas-TC'!A:B,2,FALSE),VLOOKUP(WORKDAY.INTL(H854,-7,1,),'Tasas-TC'!A:B,2,FALSE))+$D$869)))/360)*(H855-H854)*L854</f>
        <v>2464155.151444097</v>
      </c>
      <c r="K855" s="52">
        <f t="shared" si="81"/>
        <v>3295384.4000000004</v>
      </c>
      <c r="L855" s="53">
        <f t="shared" si="82"/>
        <v>16947691.200000003</v>
      </c>
      <c r="M855" s="94">
        <f t="shared" si="83"/>
        <v>5759539.5514440974</v>
      </c>
      <c r="N855" s="25"/>
      <c r="O855" s="195"/>
    </row>
    <row r="856" spans="1:17" ht="15.95" customHeight="1" x14ac:dyDescent="0.25">
      <c r="A856" s="121"/>
      <c r="B856" s="23"/>
      <c r="C856" s="60"/>
      <c r="D856" s="77"/>
      <c r="E856" s="78"/>
      <c r="F856" s="483"/>
      <c r="G856" s="484"/>
      <c r="H856" s="51">
        <f>IF(DAY(H855)=DAY($H$853),IF(WEEKDAY(EDATE(H855,$D$867),3)&lt;5,EDATE(H855,$D$867),WORKDAY(EDATE(H855,$D$867),1)),IF(WEEKDAY(EDATE($H$853,$D$866+$D$867*(COUNT($H$853:H855)-1)),3)&lt;5,EDATE($H$853,$D$866+$D$867*(COUNT($H$853:H855)-1)),WORKDAY(EDATE($H$853,$D$866+$D$867*(COUNT($H$853:H855)-1)),1)))</f>
        <v>43983</v>
      </c>
      <c r="I856" s="71" t="s">
        <v>13</v>
      </c>
      <c r="J856" s="52">
        <f>(IF(AND($D$870&lt;&gt;"",$D$870&gt;(AVERAGE(VLOOKUP(WORKDAY.INTL(H856,-7,1,),'Tasas-TC'!A:B,2,FALSE),VLOOKUP(WORKDAY.INTL(H855,-7,1,),'Tasas-TC'!A:B,2,FALSE))+$D$869)),$D$870,IF(AND($D$871&lt;&gt;"",$D$871&lt;(AVERAGE(VLOOKUP(WORKDAY.INTL(H856,-7,1,),'Tasas-TC'!A:B,2,FALSE),VLOOKUP(WORKDAY.INTL(H855,-7,1,),'Tasas-TC'!A:B,2,FALSE))+$D$869)),$D$871,(AVERAGE(VLOOKUP(WORKDAY.INTL(H856,-7,1,),'Tasas-TC'!A:B,2,FALSE),VLOOKUP(WORKDAY.INTL(H855,-7,1,),'Tasas-TC'!A:B,2,FALSE))+$D$869)))/360)*(H856-H855)*L855</f>
        <v>1660049.8914999999</v>
      </c>
      <c r="K856" s="52">
        <f t="shared" si="81"/>
        <v>3295384.4000000004</v>
      </c>
      <c r="L856" s="53">
        <f t="shared" si="82"/>
        <v>13652306.800000003</v>
      </c>
      <c r="M856" s="94">
        <f t="shared" si="83"/>
        <v>4955434.2915000003</v>
      </c>
      <c r="N856" s="25"/>
      <c r="O856" s="197"/>
      <c r="P856" s="197"/>
      <c r="Q856" s="197"/>
    </row>
    <row r="857" spans="1:17" ht="15.95" customHeight="1" x14ac:dyDescent="0.25">
      <c r="A857" s="121"/>
      <c r="B857" s="32"/>
      <c r="C857" s="60"/>
      <c r="D857" s="275" t="str">
        <f>+B844</f>
        <v>COL-VEN I</v>
      </c>
      <c r="E857" s="276"/>
      <c r="F857" s="483"/>
      <c r="G857" s="484">
        <f>+J846</f>
        <v>0</v>
      </c>
      <c r="H857" s="51">
        <f>IF(DAY(H856)=DAY($H$853),IF(WEEKDAY(EDATE(H856,$D$867),3)&lt;5,EDATE(H856,$D$867),WORKDAY(EDATE(H856,$D$867),1)),IF(WEEKDAY(EDATE($H$853,$D$866+$D$867*(COUNT($H$853:H856)-1)),3)&lt;5,EDATE($H$853,$D$866+$D$867*(COUNT($H$853:H856)-1)),WORKDAY(EDATE($H$853,$D$866+$D$867*(COUNT($H$853:H856)-1)),1)))</f>
        <v>44074</v>
      </c>
      <c r="I857" s="71" t="s">
        <v>13</v>
      </c>
      <c r="J857" s="52">
        <f>(IF(AND($D$870&lt;&gt;"",$D$870&gt;(AVERAGE(VLOOKUP(WORKDAY.INTL(H857,-7,1,),'Tasas-TC'!A:B,2,FALSE),VLOOKUP(WORKDAY.INTL(H856,-7,1,),'Tasas-TC'!A:B,2,FALSE))+$D$869)),$D$870,IF(AND($D$871&lt;&gt;"",$D$871&lt;(AVERAGE(VLOOKUP(WORKDAY.INTL(H857,-7,1,),'Tasas-TC'!A:B,2,FALSE),VLOOKUP(WORKDAY.INTL(H856,-7,1,),'Tasas-TC'!A:B,2,FALSE))+$D$869)),$D$871,(AVERAGE(VLOOKUP(WORKDAY.INTL(H857,-7,1,),'Tasas-TC'!A:B,2,FALSE),VLOOKUP(WORKDAY.INTL(H856,-7,1,),'Tasas-TC'!A:B,2,FALSE))+$D$869)))/360)*(H857-H856)*L856</f>
        <v>1285497.4159805556</v>
      </c>
      <c r="K857" s="52">
        <f t="shared" si="81"/>
        <v>3295384.4000000004</v>
      </c>
      <c r="L857" s="53">
        <f t="shared" si="82"/>
        <v>10356922.400000002</v>
      </c>
      <c r="M857" s="94">
        <f t="shared" si="83"/>
        <v>4580881.8159805555</v>
      </c>
      <c r="N857" s="25"/>
      <c r="O857" s="197"/>
      <c r="P857" s="197"/>
      <c r="Q857" s="197"/>
    </row>
    <row r="858" spans="1:17" ht="15.95" customHeight="1" x14ac:dyDescent="0.25">
      <c r="A858" s="121"/>
      <c r="B858" s="23"/>
      <c r="D858" s="277"/>
      <c r="E858" s="277"/>
      <c r="F858" s="483"/>
      <c r="G858" s="484"/>
      <c r="H858" s="51">
        <f>IF(DAY(H857)=DAY($H$853),IF(WEEKDAY(EDATE(H857,$D$867),3)&lt;5,EDATE(H857,$D$867),WORKDAY(EDATE(H857,$D$867),1)),IF(WEEKDAY(EDATE($H$853,$D$866+$D$867*(COUNT($H$853:H857)-1)),3)&lt;5,EDATE($H$853,$D$866+$D$867*(COUNT($H$853:H857)-1)),WORKDAY(EDATE($H$853,$D$866+$D$867*(COUNT($H$853:H857)-1)),1)))</f>
        <v>44165</v>
      </c>
      <c r="I858" s="71" t="s">
        <v>13</v>
      </c>
      <c r="J858" s="52">
        <f>(IF(AND($D$870&lt;&gt;"",$D$870&gt;(AVERAGE(VLOOKUP(WORKDAY.INTL(H858,-7,1,),'Tasas-TC'!A:B,2,FALSE),VLOOKUP(WORKDAY.INTL(H857,-7,1,),'Tasas-TC'!A:B,2,FALSE))+$D$869)),$D$870,IF(AND($D$871&lt;&gt;"",$D$871&lt;(AVERAGE(VLOOKUP(WORKDAY.INTL(H858,-7,1,),'Tasas-TC'!A:B,2,FALSE),VLOOKUP(WORKDAY.INTL(H857,-7,1,),'Tasas-TC'!A:B,2,FALSE))+$D$869)),$D$871,(AVERAGE(VLOOKUP(WORKDAY.INTL(H858,-7,1,),'Tasas-TC'!A:B,2,FALSE),VLOOKUP(WORKDAY.INTL(H857,-7,1,),'Tasas-TC'!A:B,2,FALSE))+$D$869)))/360)*(H858-H857)*L857</f>
        <v>1071743.6799513889</v>
      </c>
      <c r="K858" s="52">
        <f t="shared" si="81"/>
        <v>3295384.4000000004</v>
      </c>
      <c r="L858" s="53">
        <f t="shared" si="82"/>
        <v>7061538.0000000019</v>
      </c>
      <c r="M858" s="94">
        <f t="shared" si="83"/>
        <v>4367128.0799513888</v>
      </c>
      <c r="N858" s="25"/>
      <c r="O858" s="197"/>
      <c r="P858" s="197"/>
      <c r="Q858" s="197"/>
    </row>
    <row r="859" spans="1:17" ht="15.95" customHeight="1" x14ac:dyDescent="0.25">
      <c r="A859" s="121"/>
      <c r="B859" s="23"/>
      <c r="C859" s="638" t="s">
        <v>36</v>
      </c>
      <c r="D859" s="640"/>
      <c r="E859" s="36"/>
      <c r="F859" s="483"/>
      <c r="G859" s="484"/>
      <c r="H859" s="51">
        <f>IF(DAY(H858)=DAY($H$853),IF(WEEKDAY(EDATE(H858,$D$867),3)&lt;5,EDATE(H858,$D$867),WORKDAY(EDATE(H858,$D$867),1)),IF(WEEKDAY(EDATE($H$853,$D$866+$D$867*(COUNT($H$853:H858)-1)),3)&lt;5,EDATE($H$853,$D$866+$D$867*(COUNT($H$853:H858)-1)),WORKDAY(EDATE($H$853,$D$866+$D$867*(COUNT($H$853:H858)-1)),1)))</f>
        <v>44256</v>
      </c>
      <c r="I859" s="71" t="s">
        <v>13</v>
      </c>
      <c r="J859" s="52">
        <f>(IF(AND($D$870&lt;&gt;"",$D$870&gt;(AVERAGE(VLOOKUP(WORKDAY.INTL(H859,-7,1,),'Tasas-TC'!A:B,2,FALSE),VLOOKUP(WORKDAY.INTL(H858,-7,1,),'Tasas-TC'!A:B,2,FALSE))+$D$869)),$D$870,IF(AND($D$871&lt;&gt;"",$D$871&lt;(AVERAGE(VLOOKUP(WORKDAY.INTL(H859,-7,1,),'Tasas-TC'!A:B,2,FALSE),VLOOKUP(WORKDAY.INTL(H858,-7,1,),'Tasas-TC'!A:B,2,FALSE))+$D$869)),$D$871,(AVERAGE(VLOOKUP(WORKDAY.INTL(H859,-7,1,),'Tasas-TC'!A:B,2,FALSE),VLOOKUP(WORKDAY.INTL(H858,-7,1,),'Tasas-TC'!A:B,2,FALSE))+$D$869)))/360)*(H859-H858)*L858</f>
        <v>768665.57476041687</v>
      </c>
      <c r="K859" s="52">
        <f t="shared" si="81"/>
        <v>3295384.4000000004</v>
      </c>
      <c r="L859" s="53">
        <f t="shared" si="82"/>
        <v>3766153.6000000015</v>
      </c>
      <c r="M859" s="94">
        <f t="shared" si="83"/>
        <v>4064049.9747604174</v>
      </c>
      <c r="N859" s="25"/>
      <c r="O859" s="197"/>
      <c r="P859" s="197"/>
      <c r="Q859" s="197"/>
    </row>
    <row r="860" spans="1:17" ht="15.95" customHeight="1" x14ac:dyDescent="0.25">
      <c r="A860" s="121"/>
      <c r="B860" s="23"/>
      <c r="C860" s="59"/>
      <c r="D860" s="62"/>
      <c r="E860" s="36"/>
      <c r="F860" s="483"/>
      <c r="G860" s="484"/>
      <c r="H860" s="51">
        <f>IF(DAY(H859)=DAY($H$853),IF(WEEKDAY(EDATE(H859,$D$867),3)&lt;5,EDATE(H859,$D$867),WORKDAY(EDATE(H859,$D$867),1)),IF(WEEKDAY(EDATE($H$853,$D$866+$D$867*(COUNT($H$853:H859)-1)),3)&lt;5,EDATE($H$853,$D$866+$D$867*(COUNT($H$853:H859)-1)),WORKDAY(EDATE($H$853,$D$866+$D$867*(COUNT($H$853:H859)-1)),1)))</f>
        <v>44347</v>
      </c>
      <c r="I860" s="71" t="s">
        <v>13</v>
      </c>
      <c r="J860" s="52">
        <f>(IF(AND($D$870&lt;&gt;"",$D$870&gt;(AVERAGE(VLOOKUP(WORKDAY.INTL(H860,-7,1,),'Tasas-TC'!A:B,2,FALSE),VLOOKUP(WORKDAY.INTL(H859,-7,1,),'Tasas-TC'!A:B,2,FALSE))+$D$869)),$D$870,IF(AND($D$871&lt;&gt;"",$D$871&lt;(AVERAGE(VLOOKUP(WORKDAY.INTL(H860,-7,1,),'Tasas-TC'!A:B,2,FALSE),VLOOKUP(WORKDAY.INTL(H859,-7,1,),'Tasas-TC'!A:B,2,FALSE))+$D$869)),$D$871,(AVERAGE(VLOOKUP(WORKDAY.INTL(H860,-7,1,),'Tasas-TC'!A:B,2,FALSE),VLOOKUP(WORKDAY.INTL(H859,-7,1,),'Tasas-TC'!A:B,2,FALSE))+$D$869)))/360)*(H860-H859)*L859</f>
        <v>411144.97312777798</v>
      </c>
      <c r="K860" s="52">
        <f>+IF(OR(I860="A + C",I860="A"),$D$865*$D$873,0)</f>
        <v>3766153.6</v>
      </c>
      <c r="L860" s="53">
        <f t="shared" si="82"/>
        <v>0</v>
      </c>
      <c r="M860" s="94">
        <f t="shared" si="83"/>
        <v>4177298.5731277782</v>
      </c>
      <c r="N860" s="25"/>
      <c r="O860" s="197"/>
      <c r="P860" s="197"/>
      <c r="Q860" s="197"/>
    </row>
    <row r="861" spans="1:17" ht="15.95" customHeight="1" x14ac:dyDescent="0.25">
      <c r="A861" s="121"/>
      <c r="B861" s="23"/>
      <c r="C861" s="59" t="s">
        <v>9</v>
      </c>
      <c r="D861" s="98" t="s">
        <v>18</v>
      </c>
      <c r="E861" s="36"/>
      <c r="F861" s="483"/>
      <c r="G861" s="484"/>
      <c r="H861" s="54"/>
      <c r="I861" s="104"/>
      <c r="J861" s="105"/>
      <c r="K861" s="105"/>
      <c r="L861" s="106"/>
      <c r="M861" s="94"/>
      <c r="N861" s="25"/>
      <c r="O861" s="197"/>
      <c r="P861" s="197"/>
      <c r="Q861" s="197"/>
    </row>
    <row r="862" spans="1:17" ht="15.95" customHeight="1" x14ac:dyDescent="0.25">
      <c r="A862" s="121"/>
      <c r="B862" s="23"/>
      <c r="C862" s="59" t="s">
        <v>10</v>
      </c>
      <c r="D862" s="65">
        <v>43612</v>
      </c>
      <c r="E862" s="36"/>
      <c r="F862" s="483"/>
      <c r="G862" s="484"/>
      <c r="H862" s="109"/>
      <c r="I862" s="109"/>
      <c r="J862" s="109"/>
      <c r="K862" s="109"/>
      <c r="L862" s="109"/>
      <c r="M862" s="109"/>
      <c r="N862" s="25"/>
      <c r="O862" s="197"/>
      <c r="P862" s="197"/>
      <c r="Q862" s="197"/>
    </row>
    <row r="863" spans="1:17" ht="15.95" customHeight="1" x14ac:dyDescent="0.25">
      <c r="A863" s="121"/>
      <c r="B863" s="23"/>
      <c r="C863" s="59" t="s">
        <v>11</v>
      </c>
      <c r="D863" s="65">
        <v>43615</v>
      </c>
      <c r="E863" s="36"/>
      <c r="F863" s="483"/>
      <c r="G863" s="484"/>
      <c r="H863" s="656" t="s">
        <v>43</v>
      </c>
      <c r="I863" s="656"/>
      <c r="J863" s="92">
        <v>0</v>
      </c>
      <c r="K863" s="92"/>
      <c r="L863" s="24"/>
      <c r="M863" s="24"/>
      <c r="N863" s="25"/>
      <c r="O863" s="195"/>
      <c r="P863" s="29"/>
    </row>
    <row r="864" spans="1:17" ht="15.95" customHeight="1" x14ac:dyDescent="0.25">
      <c r="A864" s="121"/>
      <c r="B864" s="23"/>
      <c r="C864" s="59" t="s">
        <v>12</v>
      </c>
      <c r="D864" s="65">
        <v>44346</v>
      </c>
      <c r="E864" s="36"/>
      <c r="F864" s="480"/>
      <c r="G864" s="484"/>
      <c r="H864" s="657"/>
      <c r="I864" s="657"/>
      <c r="J864" s="392"/>
      <c r="K864" s="24"/>
      <c r="L864" s="33"/>
      <c r="M864" s="33"/>
      <c r="N864" s="25"/>
      <c r="O864" s="195"/>
      <c r="P864" s="29"/>
    </row>
    <row r="865" spans="1:16" ht="15.95" customHeight="1" x14ac:dyDescent="0.25">
      <c r="A865" s="121"/>
      <c r="B865" s="23"/>
      <c r="C865" s="59" t="s">
        <v>27</v>
      </c>
      <c r="D865" s="66">
        <v>23538460</v>
      </c>
      <c r="E865" s="41"/>
      <c r="F865" s="480"/>
      <c r="G865" s="484"/>
      <c r="H865" s="24"/>
      <c r="I865" s="24"/>
      <c r="J865" s="24"/>
      <c r="K865" s="24"/>
      <c r="L865" s="24"/>
      <c r="M865" s="24"/>
      <c r="N865" s="25"/>
      <c r="O865" s="195"/>
      <c r="P865" s="29"/>
    </row>
    <row r="866" spans="1:16" ht="15.95" customHeight="1" x14ac:dyDescent="0.25">
      <c r="A866" s="121"/>
      <c r="B866" s="23"/>
      <c r="C866" s="59" t="s">
        <v>120</v>
      </c>
      <c r="D866" s="66">
        <v>6</v>
      </c>
      <c r="E866" s="41"/>
      <c r="F866" s="480"/>
      <c r="G866" s="484"/>
      <c r="H866" s="638" t="s">
        <v>44</v>
      </c>
      <c r="I866" s="639"/>
      <c r="J866" s="639"/>
      <c r="K866" s="639"/>
      <c r="L866" s="639"/>
      <c r="M866" s="640"/>
      <c r="N866" s="25"/>
      <c r="O866" s="195"/>
    </row>
    <row r="867" spans="1:16" ht="15.95" customHeight="1" x14ac:dyDescent="0.25">
      <c r="A867" s="121"/>
      <c r="B867" s="23"/>
      <c r="C867" s="59" t="s">
        <v>26</v>
      </c>
      <c r="D867" s="66">
        <v>3</v>
      </c>
      <c r="E867" s="36"/>
      <c r="F867" s="480"/>
      <c r="G867" s="484"/>
      <c r="H867" s="23"/>
      <c r="I867" s="24"/>
      <c r="J867" s="24"/>
      <c r="K867" s="24"/>
      <c r="L867" s="24"/>
      <c r="M867" s="25"/>
      <c r="N867" s="25"/>
      <c r="O867" s="195"/>
      <c r="P867" s="37"/>
    </row>
    <row r="868" spans="1:16" ht="15.95" customHeight="1" x14ac:dyDescent="0.25">
      <c r="A868" s="121"/>
      <c r="B868" s="23"/>
      <c r="C868" s="59" t="s">
        <v>19</v>
      </c>
      <c r="D868" s="67" t="s">
        <v>20</v>
      </c>
      <c r="E868" s="43"/>
      <c r="F868" s="480"/>
      <c r="G868" s="484"/>
      <c r="H868" s="23"/>
      <c r="I868" s="24"/>
      <c r="J868" s="24"/>
      <c r="K868" s="24"/>
      <c r="L868" s="24"/>
      <c r="M868" s="25"/>
      <c r="N868" s="25"/>
      <c r="O868" s="195"/>
    </row>
    <row r="869" spans="1:16" ht="15.95" customHeight="1" x14ac:dyDescent="0.25">
      <c r="A869" s="121"/>
      <c r="B869" s="23"/>
      <c r="C869" s="59" t="s">
        <v>14</v>
      </c>
      <c r="D869" s="68">
        <v>0.09</v>
      </c>
      <c r="E869" s="43"/>
      <c r="F869" s="480"/>
      <c r="G869" s="484"/>
      <c r="H869" s="96"/>
      <c r="I869" s="35"/>
      <c r="J869" s="24"/>
      <c r="K869" s="24"/>
      <c r="L869" s="24"/>
      <c r="M869" s="25"/>
      <c r="N869" s="25"/>
      <c r="O869" s="195"/>
    </row>
    <row r="870" spans="1:16" ht="15.95" customHeight="1" x14ac:dyDescent="0.25">
      <c r="A870" s="121"/>
      <c r="B870" s="23"/>
      <c r="C870" s="59" t="s">
        <v>31</v>
      </c>
      <c r="D870" s="68"/>
      <c r="E870" s="43"/>
      <c r="F870" s="480"/>
      <c r="G870" s="484"/>
      <c r="H870" s="23"/>
      <c r="I870" s="24"/>
      <c r="J870" s="24"/>
      <c r="K870" s="24"/>
      <c r="L870" s="24"/>
      <c r="M870" s="25"/>
      <c r="N870" s="25"/>
      <c r="O870" s="195"/>
    </row>
    <row r="871" spans="1:16" ht="15.95" customHeight="1" x14ac:dyDescent="0.25">
      <c r="A871" s="121"/>
      <c r="B871" s="23"/>
      <c r="C871" s="59" t="s">
        <v>32</v>
      </c>
      <c r="D871" s="68"/>
      <c r="E871" s="44"/>
      <c r="F871" s="480"/>
      <c r="G871" s="484"/>
      <c r="H871" s="23"/>
      <c r="I871" s="24"/>
      <c r="J871" s="24"/>
      <c r="K871" s="24"/>
      <c r="L871" s="24"/>
      <c r="M871" s="25"/>
      <c r="N871" s="25"/>
      <c r="O871" s="195"/>
    </row>
    <row r="872" spans="1:16" ht="15.95" customHeight="1" x14ac:dyDescent="0.25">
      <c r="A872" s="121"/>
      <c r="B872" s="23"/>
      <c r="C872" s="59" t="s">
        <v>21</v>
      </c>
      <c r="D872" s="68">
        <v>0.14000000000000001</v>
      </c>
      <c r="E872" s="24"/>
      <c r="F872" s="480"/>
      <c r="G872" s="485"/>
      <c r="H872" s="23"/>
      <c r="I872" s="24"/>
      <c r="J872" s="24"/>
      <c r="K872" s="24"/>
      <c r="L872" s="24"/>
      <c r="M872" s="25"/>
      <c r="N872" s="25"/>
      <c r="O872" s="195"/>
    </row>
    <row r="873" spans="1:16" ht="15.95" customHeight="1" x14ac:dyDescent="0.25">
      <c r="A873" s="121"/>
      <c r="B873" s="23"/>
      <c r="C873" s="59" t="s">
        <v>55</v>
      </c>
      <c r="D873" s="68">
        <v>0.16</v>
      </c>
      <c r="E873" s="24"/>
      <c r="F873" s="480"/>
      <c r="G873" s="485"/>
      <c r="H873" s="23"/>
      <c r="I873" s="24"/>
      <c r="J873" s="24"/>
      <c r="K873" s="24"/>
      <c r="L873" s="24"/>
      <c r="M873" s="25"/>
      <c r="N873" s="25"/>
      <c r="O873" s="195"/>
    </row>
    <row r="874" spans="1:16" ht="15.95" customHeight="1" x14ac:dyDescent="0.25">
      <c r="A874" s="121"/>
      <c r="B874" s="23"/>
      <c r="C874" s="60"/>
      <c r="D874" s="110"/>
      <c r="E874" s="24"/>
      <c r="F874" s="480"/>
      <c r="G874" s="485"/>
      <c r="H874" s="23"/>
      <c r="I874" s="24"/>
      <c r="J874" s="24"/>
      <c r="K874" s="24"/>
      <c r="L874" s="24"/>
      <c r="M874" s="25"/>
      <c r="N874" s="25"/>
      <c r="O874" s="195"/>
    </row>
    <row r="875" spans="1:16" ht="15.95" customHeight="1" x14ac:dyDescent="0.25">
      <c r="A875" s="121"/>
      <c r="B875" s="23"/>
      <c r="C875" s="24"/>
      <c r="D875" s="24"/>
      <c r="E875" s="24"/>
      <c r="F875" s="480"/>
      <c r="G875" s="485"/>
      <c r="H875" s="23"/>
      <c r="I875" s="24"/>
      <c r="J875" s="24"/>
      <c r="K875" s="24"/>
      <c r="L875" s="24"/>
      <c r="M875" s="25"/>
      <c r="N875" s="25"/>
      <c r="O875" s="195"/>
    </row>
    <row r="876" spans="1:16" ht="15.95" customHeight="1" x14ac:dyDescent="0.25">
      <c r="A876" s="121"/>
      <c r="B876" s="23"/>
      <c r="C876" s="24"/>
      <c r="D876" s="24"/>
      <c r="E876" s="24"/>
      <c r="F876" s="480"/>
      <c r="G876" s="485"/>
      <c r="H876" s="23"/>
      <c r="I876" s="24"/>
      <c r="J876" s="24"/>
      <c r="K876" s="24"/>
      <c r="L876" s="24"/>
      <c r="M876" s="25"/>
      <c r="N876" s="25"/>
      <c r="O876" s="195"/>
    </row>
    <row r="877" spans="1:16" ht="15.95" customHeight="1" x14ac:dyDescent="0.25">
      <c r="A877" s="121"/>
      <c r="B877" s="23"/>
      <c r="C877" s="24"/>
      <c r="D877" s="24"/>
      <c r="E877" s="24"/>
      <c r="F877" s="480"/>
      <c r="G877" s="485"/>
      <c r="H877" s="23"/>
      <c r="I877" s="24"/>
      <c r="J877" s="24"/>
      <c r="K877" s="24"/>
      <c r="L877" s="24"/>
      <c r="M877" s="25"/>
      <c r="N877" s="25"/>
      <c r="O877" s="195"/>
    </row>
    <row r="878" spans="1:16" ht="15.95" customHeight="1" x14ac:dyDescent="0.25">
      <c r="A878" s="121"/>
      <c r="B878" s="23"/>
      <c r="C878" s="24"/>
      <c r="D878" s="24"/>
      <c r="E878" s="24"/>
      <c r="F878" s="480"/>
      <c r="G878" s="485"/>
      <c r="H878" s="23"/>
      <c r="I878" s="24"/>
      <c r="J878" s="24"/>
      <c r="K878" s="24"/>
      <c r="L878" s="24"/>
      <c r="M878" s="25"/>
      <c r="N878" s="25"/>
      <c r="O878" s="195"/>
    </row>
    <row r="879" spans="1:16" ht="15.95" customHeight="1" x14ac:dyDescent="0.25">
      <c r="A879" s="121"/>
      <c r="B879" s="23"/>
      <c r="C879" s="24"/>
      <c r="D879" s="24"/>
      <c r="E879" s="24"/>
      <c r="F879" s="480"/>
      <c r="G879" s="485"/>
      <c r="H879" s="26"/>
      <c r="I879" s="27"/>
      <c r="J879" s="27"/>
      <c r="K879" s="27"/>
      <c r="L879" s="27"/>
      <c r="M879" s="28"/>
      <c r="N879" s="25"/>
      <c r="O879" s="195"/>
    </row>
    <row r="880" spans="1:16" ht="15.95" customHeight="1" x14ac:dyDescent="0.25">
      <c r="A880" s="121"/>
      <c r="B880" s="26"/>
      <c r="C880" s="27"/>
      <c r="D880" s="27"/>
      <c r="E880" s="27"/>
      <c r="F880" s="481"/>
      <c r="G880" s="486"/>
      <c r="H880" s="27"/>
      <c r="I880" s="27"/>
      <c r="J880" s="27"/>
      <c r="K880" s="27"/>
      <c r="L880" s="27"/>
      <c r="M880" s="27"/>
      <c r="N880" s="28"/>
      <c r="O880" s="195"/>
    </row>
    <row r="881" spans="1:15" ht="15.95" customHeight="1" x14ac:dyDescent="0.25">
      <c r="A881" s="121"/>
      <c r="B881" s="23"/>
      <c r="C881" s="24"/>
      <c r="D881" s="24"/>
      <c r="E881" s="24"/>
      <c r="F881" s="480"/>
      <c r="G881" s="480"/>
      <c r="H881" s="24"/>
      <c r="I881" s="24"/>
      <c r="J881" s="24"/>
      <c r="K881" s="24"/>
      <c r="L881" s="24"/>
      <c r="M881" s="24"/>
      <c r="N881" s="25"/>
      <c r="O881" s="195"/>
    </row>
    <row r="882" spans="1:15" ht="15.95" customHeight="1" x14ac:dyDescent="0.25">
      <c r="A882" s="121"/>
      <c r="B882" s="661" t="s">
        <v>113</v>
      </c>
      <c r="C882" s="662"/>
      <c r="D882" s="662"/>
      <c r="E882" s="662"/>
      <c r="F882" s="662"/>
      <c r="G882" s="662"/>
      <c r="H882" s="662"/>
      <c r="I882" s="662"/>
      <c r="J882" s="662"/>
      <c r="K882" s="662"/>
      <c r="L882" s="662"/>
      <c r="M882" s="662"/>
      <c r="N882" s="663"/>
      <c r="O882" s="195"/>
    </row>
    <row r="883" spans="1:15" ht="15.95" customHeight="1" x14ac:dyDescent="0.25">
      <c r="A883" s="121"/>
      <c r="B883" s="23"/>
      <c r="C883" s="24"/>
      <c r="D883" s="24"/>
      <c r="E883" s="24"/>
      <c r="F883" s="483"/>
      <c r="G883" s="484"/>
      <c r="H883" s="31"/>
      <c r="I883" s="31"/>
      <c r="J883" s="24"/>
      <c r="K883" s="24"/>
      <c r="L883" s="24"/>
      <c r="M883" s="24"/>
      <c r="N883" s="25"/>
      <c r="O883" s="195"/>
    </row>
    <row r="884" spans="1:15" ht="15.95" customHeight="1" x14ac:dyDescent="0.25">
      <c r="A884" s="121"/>
      <c r="B884" s="23"/>
      <c r="C884" s="638" t="s">
        <v>37</v>
      </c>
      <c r="D884" s="639"/>
      <c r="E884" s="640"/>
      <c r="F884" s="483"/>
      <c r="G884" s="484"/>
      <c r="H884" s="641" t="s">
        <v>28</v>
      </c>
      <c r="I884" s="642"/>
      <c r="J884" s="39">
        <f>+$D$902-SUMIF($H$890:$H$900,"&lt;"&amp;$M$4,$K$890:$K$900)</f>
        <v>0</v>
      </c>
      <c r="K884" s="24"/>
      <c r="L884" s="24"/>
      <c r="M884" s="24"/>
      <c r="N884" s="25"/>
      <c r="O884" s="195"/>
    </row>
    <row r="885" spans="1:15" ht="15.95" customHeight="1" x14ac:dyDescent="0.25">
      <c r="A885" s="121"/>
      <c r="B885" s="23"/>
      <c r="C885" s="58"/>
      <c r="D885" s="664"/>
      <c r="E885" s="665"/>
      <c r="F885" s="483"/>
      <c r="G885" s="484"/>
      <c r="H885" s="645" t="s">
        <v>29</v>
      </c>
      <c r="I885" s="646"/>
      <c r="J885" s="40">
        <f>+$D$901</f>
        <v>44212</v>
      </c>
      <c r="K885" s="24"/>
      <c r="L885" s="24"/>
      <c r="M885" s="24"/>
      <c r="N885" s="25"/>
      <c r="O885" s="195"/>
    </row>
    <row r="886" spans="1:15" ht="15.95" customHeight="1" x14ac:dyDescent="0.25">
      <c r="A886" s="121"/>
      <c r="B886" s="23"/>
      <c r="C886" s="59" t="s">
        <v>25</v>
      </c>
      <c r="D886" s="658"/>
      <c r="E886" s="659"/>
      <c r="F886" s="483"/>
      <c r="G886" s="484"/>
      <c r="H886" s="649" t="s">
        <v>30</v>
      </c>
      <c r="I886" s="650"/>
      <c r="J886" s="42" t="str">
        <f t="array" ref="J886">+IF(H899&gt;=M4,MIN(IF(H890:H900&gt;=$M$4,H890:H900,"")),"vencida")</f>
        <v>vencida</v>
      </c>
      <c r="K886" s="24"/>
      <c r="L886" s="24"/>
      <c r="M886" s="24"/>
      <c r="N886" s="25"/>
      <c r="O886" s="195"/>
    </row>
    <row r="887" spans="1:15" ht="15.95" customHeight="1" x14ac:dyDescent="0.25">
      <c r="A887" s="121"/>
      <c r="B887" s="23"/>
      <c r="C887" s="59" t="s">
        <v>6</v>
      </c>
      <c r="D887" s="658" t="s">
        <v>410</v>
      </c>
      <c r="E887" s="659"/>
      <c r="F887" s="483"/>
      <c r="G887" s="484"/>
      <c r="H887" s="24"/>
      <c r="I887" s="24"/>
      <c r="J887" s="24"/>
      <c r="K887" s="24"/>
      <c r="L887" s="24"/>
      <c r="M887" s="24"/>
      <c r="N887" s="25"/>
      <c r="O887" s="195"/>
    </row>
    <row r="888" spans="1:15" ht="15.95" customHeight="1" x14ac:dyDescent="0.25">
      <c r="A888" s="121"/>
      <c r="B888" s="23"/>
      <c r="C888" s="59" t="s">
        <v>8</v>
      </c>
      <c r="D888" s="658" t="s">
        <v>17</v>
      </c>
      <c r="E888" s="659"/>
      <c r="F888" s="483"/>
      <c r="G888" s="484"/>
      <c r="H888" s="651" t="s">
        <v>41</v>
      </c>
      <c r="I888" s="652"/>
      <c r="J888" s="652"/>
      <c r="K888" s="652"/>
      <c r="L888" s="653"/>
      <c r="M888" s="24"/>
      <c r="N888" s="25"/>
      <c r="O888" s="195"/>
    </row>
    <row r="889" spans="1:15" ht="15.95" customHeight="1" x14ac:dyDescent="0.25">
      <c r="A889" s="121"/>
      <c r="B889" s="23"/>
      <c r="C889" s="59" t="s">
        <v>33</v>
      </c>
      <c r="D889" s="73" t="s">
        <v>309</v>
      </c>
      <c r="E889" s="273">
        <v>1</v>
      </c>
      <c r="F889" s="483">
        <f>+E889*J884</f>
        <v>0</v>
      </c>
      <c r="G889" s="484"/>
      <c r="H889" s="81" t="s">
        <v>0</v>
      </c>
      <c r="I889" s="82" t="s">
        <v>2</v>
      </c>
      <c r="J889" s="82" t="s">
        <v>3</v>
      </c>
      <c r="K889" s="82" t="s">
        <v>4</v>
      </c>
      <c r="L889" s="83" t="s">
        <v>5</v>
      </c>
      <c r="M889" s="82" t="s">
        <v>44</v>
      </c>
      <c r="N889" s="25"/>
      <c r="O889" s="195"/>
    </row>
    <row r="890" spans="1:15" ht="15.95" customHeight="1" x14ac:dyDescent="0.25">
      <c r="A890" s="121"/>
      <c r="B890" s="23"/>
      <c r="C890" s="59" t="s">
        <v>34</v>
      </c>
      <c r="D890" s="658" t="s">
        <v>48</v>
      </c>
      <c r="E890" s="659"/>
      <c r="F890" s="483"/>
      <c r="G890" s="484"/>
      <c r="H890" s="45"/>
      <c r="I890" s="46"/>
      <c r="J890" s="46"/>
      <c r="K890" s="46"/>
      <c r="L890" s="47"/>
      <c r="M890" s="23"/>
      <c r="N890" s="25"/>
      <c r="O890" s="195"/>
    </row>
    <row r="891" spans="1:15" ht="15.95" customHeight="1" x14ac:dyDescent="0.25">
      <c r="A891" s="121"/>
      <c r="B891" s="23"/>
      <c r="C891" s="79" t="s">
        <v>38</v>
      </c>
      <c r="D891" s="75"/>
      <c r="E891" s="76"/>
      <c r="F891" s="483"/>
      <c r="G891" s="484"/>
      <c r="H891" s="48">
        <f>+$D$900</f>
        <v>43481</v>
      </c>
      <c r="I891" s="70"/>
      <c r="J891" s="49"/>
      <c r="K891" s="49"/>
      <c r="L891" s="50">
        <f>+D902</f>
        <v>4000000</v>
      </c>
      <c r="M891" s="93">
        <f>-L891</f>
        <v>-4000000</v>
      </c>
      <c r="N891" s="25"/>
      <c r="O891" s="195"/>
    </row>
    <row r="892" spans="1:15" ht="20.100000000000001" customHeight="1" x14ac:dyDescent="0.25">
      <c r="A892" s="121"/>
      <c r="B892" s="23"/>
      <c r="C892" s="59"/>
      <c r="D892" s="73"/>
      <c r="E892" s="74"/>
      <c r="F892" s="483"/>
      <c r="G892" s="484"/>
      <c r="H892" s="51">
        <f>IF(DAY(H891)=DAY($H$891),IF(WEEKDAY(EDATE(H891,$D$903),3)&lt;5,EDATE(H891,$D$903),WORKDAY(EDATE(H891,$D$903),1)),IF(WEEKDAY(EDATE($H$891,$D$903*COUNT($H$891:H891)),3)&lt;5,EDATE($H$891,$D$903*COUNT($H$891:H891)),WORKDAY(EDATE($H$891,$D$903*COUNT($H$891:H891)),1)))</f>
        <v>43571</v>
      </c>
      <c r="I892" s="71" t="s">
        <v>7</v>
      </c>
      <c r="J892" s="52">
        <f>(IF(AND($D$906&lt;&gt;"",$D$906&gt;(AVERAGE(VLOOKUP(WORKDAY.INTL(H892,-7,1,),'Tasas-TC'!A:B,2,FALSE),VLOOKUP(WORKDAY.INTL(H891,-7,1,),'Tasas-TC'!A:B,2,FALSE))+$D$905)),$D$906,IF(AND($D$907&lt;&gt;"",$D$907&lt;(AVERAGE(VLOOKUP(WORKDAY.INTL(H892,-7,1,),'Tasas-TC'!A:B,2,FALSE),VLOOKUP(WORKDAY.INTL(H891,-7,1,),'Tasas-TC'!A:B,2,FALSE))+$D$905)),$D$907,(AVERAGE(VLOOKUP(WORKDAY.INTL(H892,-7,1,),'Tasas-TC'!A:B,2,FALSE),VLOOKUP(WORKDAY.INTL(H891,-7,1,),'Tasas-TC'!A:B,2,FALSE))+$D$905)))/360)*(H892-H891)*L891</f>
        <v>542500</v>
      </c>
      <c r="K892" s="52">
        <f>+IF(OR(I892="A + C",I892="A"),$D$902*$D$908,0)</f>
        <v>0</v>
      </c>
      <c r="L892" s="53">
        <f t="shared" ref="L892:L899" si="84">+L891-K892</f>
        <v>4000000</v>
      </c>
      <c r="M892" s="94">
        <f t="shared" ref="M892:M899" si="85">+J892+K892</f>
        <v>542500</v>
      </c>
      <c r="N892" s="25"/>
      <c r="O892" s="195"/>
    </row>
    <row r="893" spans="1:15" ht="15.95" customHeight="1" x14ac:dyDescent="0.25">
      <c r="A893" s="121"/>
      <c r="B893" s="23"/>
      <c r="C893" s="60"/>
      <c r="D893" s="77"/>
      <c r="E893" s="78"/>
      <c r="F893" s="483"/>
      <c r="G893" s="484"/>
      <c r="H893" s="51">
        <f>IF(DAY(H892)=DAY($H$891),IF(WEEKDAY(EDATE(H892,$D$903),3)&lt;5,EDATE(H892,$D$903),WORKDAY(EDATE(H892,$D$903),1)),IF(WEEKDAY(EDATE($H$891,$D$903*COUNT($H$891:H892)),3)&lt;5,EDATE($H$891,$D$903*COUNT($H$891:H892)),WORKDAY(EDATE($H$891,$D$903*COUNT($H$891:H892)),1)))</f>
        <v>43662</v>
      </c>
      <c r="I893" s="71" t="s">
        <v>7</v>
      </c>
      <c r="J893" s="52">
        <f>(IF(AND($D$906&lt;&gt;"",$D$906&gt;(AVERAGE(VLOOKUP(WORKDAY.INTL(H893,-7,1,),'Tasas-TC'!A:B,2,FALSE),VLOOKUP(WORKDAY.INTL(H892,-7,1,),'Tasas-TC'!A:B,2,FALSE))+$D$905)),$D$906,IF(AND($D$907&lt;&gt;"",$D$907&lt;(AVERAGE(VLOOKUP(WORKDAY.INTL(H893,-7,1,),'Tasas-TC'!A:B,2,FALSE),VLOOKUP(WORKDAY.INTL(H892,-7,1,),'Tasas-TC'!A:B,2,FALSE))+$D$905)),$D$907,(AVERAGE(VLOOKUP(WORKDAY.INTL(H893,-7,1,),'Tasas-TC'!A:B,2,FALSE),VLOOKUP(WORKDAY.INTL(H892,-7,1,),'Tasas-TC'!A:B,2,FALSE))+$D$905)))/360)*(H893-H892)*L892</f>
        <v>552635.41666666674</v>
      </c>
      <c r="K893" s="52">
        <f>+IF(OR(I893="A + C",I893="A"),$D$902*$D$908,0)</f>
        <v>0</v>
      </c>
      <c r="L893" s="53">
        <f t="shared" si="84"/>
        <v>4000000</v>
      </c>
      <c r="M893" s="94">
        <f t="shared" si="85"/>
        <v>552635.41666666674</v>
      </c>
      <c r="N893" s="25"/>
      <c r="O893" s="194">
        <f>+D1093</f>
        <v>0</v>
      </c>
    </row>
    <row r="894" spans="1:15" ht="15.95" customHeight="1" x14ac:dyDescent="0.25">
      <c r="A894" s="121"/>
      <c r="B894" s="23"/>
      <c r="C894" s="60"/>
      <c r="D894" s="55" t="str">
        <f>+B882</f>
        <v>Compacto I</v>
      </c>
      <c r="E894" s="64"/>
      <c r="F894" s="483"/>
      <c r="G894" s="484">
        <f>+J884</f>
        <v>0</v>
      </c>
      <c r="H894" s="51">
        <f>IF(DAY(H893)=DAY($H$891),IF(WEEKDAY(EDATE(H893,$D$903),3)&lt;5,EDATE(H893,$D$903),WORKDAY(EDATE(H893,$D$903),1)),IF(WEEKDAY(EDATE($H$891,$D$903*COUNT($H$891:H893)),3)&lt;5,EDATE($H$891,$D$903*COUNT($H$891:H893)),WORKDAY(EDATE($H$891,$D$903*COUNT($H$891:H893)),1)))</f>
        <v>43754</v>
      </c>
      <c r="I894" s="71" t="s">
        <v>7</v>
      </c>
      <c r="J894" s="52">
        <f>(IF(AND($D$906&lt;&gt;"",$D$906&gt;(AVERAGE(VLOOKUP(WORKDAY.INTL(H894,-7,1,),'Tasas-TC'!A:B,2,FALSE),VLOOKUP(WORKDAY.INTL(H893,-7,1,),'Tasas-TC'!A:B,2,FALSE))+$D$905)),$D$906,IF(AND($D$907&lt;&gt;"",$D$907&lt;(AVERAGE(VLOOKUP(WORKDAY.INTL(H894,-7,1,),'Tasas-TC'!A:B,2,FALSE),VLOOKUP(WORKDAY.INTL(H893,-7,1,),'Tasas-TC'!A:B,2,FALSE))+$D$905)),$D$907,(AVERAGE(VLOOKUP(WORKDAY.INTL(H894,-7,1,),'Tasas-TC'!A:B,2,FALSE),VLOOKUP(WORKDAY.INTL(H893,-7,1,),'Tasas-TC'!A:B,2,FALSE))+$D$905)))/360)*(H894-H893)*L893</f>
        <v>612375.00000000012</v>
      </c>
      <c r="K894" s="52">
        <f>+IF(OR(I894="A + C",I894="A"),$D$902*$D$908,0)</f>
        <v>0</v>
      </c>
      <c r="L894" s="53">
        <f t="shared" si="84"/>
        <v>4000000</v>
      </c>
      <c r="M894" s="94">
        <f t="shared" si="85"/>
        <v>612375.00000000012</v>
      </c>
      <c r="N894" s="25"/>
      <c r="O894" s="195"/>
    </row>
    <row r="895" spans="1:15" ht="15.95" customHeight="1" x14ac:dyDescent="0.25">
      <c r="A895" s="121"/>
      <c r="B895" s="32"/>
      <c r="D895" s="644"/>
      <c r="E895" s="660"/>
      <c r="F895" s="483"/>
      <c r="G895" s="484"/>
      <c r="H895" s="51">
        <f>IF(DAY(H894)=DAY($H$891),IF(WEEKDAY(EDATE(H894,$D$903),3)&lt;5,EDATE(H894,$D$903),WORKDAY(EDATE(H894,$D$903),1)),IF(WEEKDAY(EDATE($H$891,$D$903*COUNT($H$891:H894)),3)&lt;5,EDATE($H$891,$D$903*COUNT($H$891:H894)),WORKDAY(EDATE($H$891,$D$903*COUNT($H$891:H894)),1)))</f>
        <v>43846</v>
      </c>
      <c r="I895" s="71" t="s">
        <v>13</v>
      </c>
      <c r="J895" s="52">
        <f>(IF(AND($D$906&lt;&gt;"",$D$906&gt;(AVERAGE(VLOOKUP(WORKDAY.INTL(H895,-7,1,),'Tasas-TC'!A:B,2,FALSE),VLOOKUP(WORKDAY.INTL(H894,-7,1,),'Tasas-TC'!A:B,2,FALSE))+$D$905)),$D$906,IF(AND($D$907&lt;&gt;"",$D$907&lt;(AVERAGE(VLOOKUP(WORKDAY.INTL(H895,-7,1,),'Tasas-TC'!A:B,2,FALSE),VLOOKUP(WORKDAY.INTL(H894,-7,1,),'Tasas-TC'!A:B,2,FALSE))+$D$905)),$D$907,(AVERAGE(VLOOKUP(WORKDAY.INTL(H895,-7,1,),'Tasas-TC'!A:B,2,FALSE),VLOOKUP(WORKDAY.INTL(H894,-7,1,),'Tasas-TC'!A:B,2,FALSE))+$D$905)))/360)*(H895-H894)*L894</f>
        <v>562222.22222222225</v>
      </c>
      <c r="K895" s="52">
        <f>+IF(OR(I895="A + C",I895="A"),$D$902*$D$908,0)</f>
        <v>2000000</v>
      </c>
      <c r="L895" s="53">
        <f t="shared" si="84"/>
        <v>2000000</v>
      </c>
      <c r="M895" s="94">
        <f t="shared" si="85"/>
        <v>2562222.222222222</v>
      </c>
      <c r="N895" s="25"/>
      <c r="O895" s="194" t="str">
        <f>+IF(J1091="vencida",IF(D1093='Reporte - Oscuro'!$C$40,'Reporte - Oscuro'!$C$40&amp;" vencida",IF(D1093='Reporte - Oscuro'!$C$41,'Reporte - Oscuro'!$C$41&amp;" vencida",IF(D1093='Reporte - Oscuro'!$C$42,'Reporte - Oscuro'!$C$42&amp;" vencida",'Reporte - Oscuro'!$C$43&amp;" vencida"))),D1093&amp;" vigente")</f>
        <v xml:space="preserve"> vigente</v>
      </c>
    </row>
    <row r="896" spans="1:15" ht="15.95" customHeight="1" x14ac:dyDescent="0.25">
      <c r="A896" s="121"/>
      <c r="B896" s="23"/>
      <c r="C896" s="638" t="s">
        <v>36</v>
      </c>
      <c r="D896" s="640"/>
      <c r="E896" s="36"/>
      <c r="F896" s="483"/>
      <c r="G896" s="484"/>
      <c r="H896" s="51">
        <f>IF(DAY(H895)=DAY($H$891),IF(WEEKDAY(EDATE(H895,$D$903),3)&lt;5,EDATE(H895,$D$903),WORKDAY(EDATE(H895,$D$903),1)),IF(WEEKDAY(EDATE($H$891,$D$903*COUNT($H$891:H895)),3)&lt;5,EDATE($H$891,$D$903*COUNT($H$891:H895)),WORKDAY(EDATE($H$891,$D$903*COUNT($H$891:H895)),1)))</f>
        <v>43937</v>
      </c>
      <c r="I896" s="71" t="s">
        <v>7</v>
      </c>
      <c r="J896" s="52">
        <f>(IF(AND($D$906&lt;&gt;"",$D$906&gt;(AVERAGE(VLOOKUP(WORKDAY.INTL(H896,-7,1,),'Tasas-TC'!A:B,2,FALSE),VLOOKUP(WORKDAY.INTL(H895,-7,1,),'Tasas-TC'!A:B,2,FALSE))+$D$905)),$D$906,IF(AND($D$907&lt;&gt;"",$D$907&lt;(AVERAGE(VLOOKUP(WORKDAY.INTL(H896,-7,1,),'Tasas-TC'!A:B,2,FALSE),VLOOKUP(WORKDAY.INTL(H895,-7,1,),'Tasas-TC'!A:B,2,FALSE))+$D$905)),$D$907,(AVERAGE(VLOOKUP(WORKDAY.INTL(H896,-7,1,),'Tasas-TC'!A:B,2,FALSE),VLOOKUP(WORKDAY.INTL(H895,-7,1,),'Tasas-TC'!A:B,2,FALSE))+$D$905)))/360)*(H896-H895)*L895</f>
        <v>190373.26388888891</v>
      </c>
      <c r="K896" s="52">
        <f>+IF(OR(I896="A + C",I896="A"),$D$902*$D$909,0)</f>
        <v>0</v>
      </c>
      <c r="L896" s="53">
        <f t="shared" si="84"/>
        <v>2000000</v>
      </c>
      <c r="M896" s="94">
        <f t="shared" si="85"/>
        <v>190373.26388888891</v>
      </c>
      <c r="N896" s="25"/>
      <c r="O896" s="195"/>
    </row>
    <row r="897" spans="1:17" ht="15.95" customHeight="1" x14ac:dyDescent="0.25">
      <c r="A897" s="121"/>
      <c r="B897" s="23"/>
      <c r="C897" s="59"/>
      <c r="D897" s="62"/>
      <c r="E897" s="36"/>
      <c r="F897" s="483"/>
      <c r="G897" s="484"/>
      <c r="H897" s="51">
        <f>IF(DAY(H896)=DAY($H$891),IF(WEEKDAY(EDATE(H896,$D$903),3)&lt;5,EDATE(H896,$D$903),WORKDAY(EDATE(H896,$D$903),1)),IF(WEEKDAY(EDATE($H$891,$D$903*COUNT($H$891:H896)),3)&lt;5,EDATE($H$891,$D$903*COUNT($H$891:H896)),WORKDAY(EDATE($H$891,$D$903*COUNT($H$891:H896)),1)))</f>
        <v>44028</v>
      </c>
      <c r="I897" s="71" t="s">
        <v>7</v>
      </c>
      <c r="J897" s="52">
        <f>(IF(AND($D$906&lt;&gt;"",$D$906&gt;(AVERAGE(VLOOKUP(WORKDAY.INTL(H897,-7,1,),'Tasas-TC'!A:B,2,FALSE),VLOOKUP(WORKDAY.INTL(H896,-7,1,),'Tasas-TC'!A:B,2,FALSE))+$D$905)),$D$906,IF(AND($D$907&lt;&gt;"",$D$907&lt;(AVERAGE(VLOOKUP(WORKDAY.INTL(H897,-7,1,),'Tasas-TC'!A:B,2,FALSE),VLOOKUP(WORKDAY.INTL(H896,-7,1,),'Tasas-TC'!A:B,2,FALSE))+$D$905)),$D$907,(AVERAGE(VLOOKUP(WORKDAY.INTL(H897,-7,1,),'Tasas-TC'!A:B,2,FALSE),VLOOKUP(WORKDAY.INTL(H896,-7,1,),'Tasas-TC'!A:B,2,FALSE))+$D$905)))/360)*(H897-H896)*L896</f>
        <v>168887.15277777778</v>
      </c>
      <c r="K897" s="52">
        <f>+IF(OR(I897="A + C",I897="A"),$D$902*$D$909,0)</f>
        <v>0</v>
      </c>
      <c r="L897" s="53">
        <f t="shared" si="84"/>
        <v>2000000</v>
      </c>
      <c r="M897" s="94">
        <f t="shared" si="85"/>
        <v>168887.15277777778</v>
      </c>
      <c r="N897" s="25"/>
      <c r="O897" s="195"/>
    </row>
    <row r="898" spans="1:17" ht="15.95" customHeight="1" x14ac:dyDescent="0.25">
      <c r="A898" s="121"/>
      <c r="B898" s="23"/>
      <c r="C898" s="59" t="s">
        <v>9</v>
      </c>
      <c r="D898" s="98" t="s">
        <v>18</v>
      </c>
      <c r="E898" s="36"/>
      <c r="F898" s="483"/>
      <c r="G898" s="484"/>
      <c r="H898" s="51">
        <f>IF(DAY(H897)=DAY($H$891),IF(WEEKDAY(EDATE(H897,$D$903),3)&lt;5,EDATE(H897,$D$903),WORKDAY(EDATE(H897,$D$903),1)),IF(WEEKDAY(EDATE($H$891,$D$903*COUNT($H$891:H897)),3)&lt;5,EDATE($H$891,$D$903*COUNT($H$891:H897)),WORKDAY(EDATE($H$891,$D$903*COUNT($H$891:H897)),1)))</f>
        <v>44120</v>
      </c>
      <c r="I898" s="71" t="s">
        <v>7</v>
      </c>
      <c r="J898" s="52">
        <f>(IF(AND($D$906&lt;&gt;"",$D$906&gt;(AVERAGE(VLOOKUP(WORKDAY.INTL(H898,-7,1,),'Tasas-TC'!A:B,2,FALSE),VLOOKUP(WORKDAY.INTL(H897,-7,1,),'Tasas-TC'!A:B,2,FALSE))+$D$905)),$D$906,IF(AND($D$907&lt;&gt;"",$D$907&lt;(AVERAGE(VLOOKUP(WORKDAY.INTL(H898,-7,1,),'Tasas-TC'!A:B,2,FALSE),VLOOKUP(WORKDAY.INTL(H897,-7,1,),'Tasas-TC'!A:B,2,FALSE))+$D$905)),$D$907,(AVERAGE(VLOOKUP(WORKDAY.INTL(H898,-7,1,),'Tasas-TC'!A:B,2,FALSE),VLOOKUP(WORKDAY.INTL(H897,-7,1,),'Tasas-TC'!A:B,2,FALSE))+$D$905)))/360)*(H898-H897)*L897</f>
        <v>187673.61111111112</v>
      </c>
      <c r="K898" s="52">
        <f>+IF(OR(I898="A + C",I898="A"),$D$902*$D$909,0)</f>
        <v>0</v>
      </c>
      <c r="L898" s="53">
        <f t="shared" si="84"/>
        <v>2000000</v>
      </c>
      <c r="M898" s="94">
        <f t="shared" si="85"/>
        <v>187673.61111111112</v>
      </c>
      <c r="N898" s="25"/>
      <c r="O898" s="195"/>
    </row>
    <row r="899" spans="1:17" ht="15.95" customHeight="1" x14ac:dyDescent="0.25">
      <c r="A899" s="121"/>
      <c r="B899" s="23"/>
      <c r="C899" s="59" t="s">
        <v>10</v>
      </c>
      <c r="D899" s="65">
        <v>43476</v>
      </c>
      <c r="E899" s="36"/>
      <c r="F899" s="483"/>
      <c r="G899" s="484"/>
      <c r="H899" s="51">
        <f>IF(DAY(H898)=DAY($H$891),IF(WEEKDAY(EDATE(H898,$D$903),3)&lt;5,EDATE(H898,$D$903),WORKDAY(EDATE(H898,$D$903),1)),IF(WEEKDAY(EDATE($H$891,$D$903*COUNT($H$891:H898)),3)&lt;5,EDATE($H$891,$D$903*COUNT($H$891:H898)),WORKDAY(EDATE($H$891,$D$903*COUNT($H$891:H898)),1)))</f>
        <v>44214</v>
      </c>
      <c r="I899" s="71" t="s">
        <v>13</v>
      </c>
      <c r="J899" s="52">
        <f>(IF(AND($D$906&lt;&gt;"",$D$906&gt;(AVERAGE(VLOOKUP(WORKDAY.INTL(H899,-7,1,),'Tasas-TC'!A:B,2,FALSE),VLOOKUP(WORKDAY.INTL(H898,-7,1,),'Tasas-TC'!A:B,2,FALSE))+$D$905)),$D$906,IF(AND($D$907&lt;&gt;"",$D$907&lt;(AVERAGE(VLOOKUP(WORKDAY.INTL(H899,-7,1,),'Tasas-TC'!A:B,2,FALSE),VLOOKUP(WORKDAY.INTL(H898,-7,1,),'Tasas-TC'!A:B,2,FALSE))+$D$905)),$D$907,(AVERAGE(VLOOKUP(WORKDAY.INTL(H899,-7,1,),'Tasas-TC'!A:B,2,FALSE),VLOOKUP(WORKDAY.INTL(H898,-7,1,),'Tasas-TC'!A:B,2,FALSE))+$D$905)))/360)*(H899-H898)*L898</f>
        <v>202361.11111111109</v>
      </c>
      <c r="K899" s="52">
        <f>+IF(OR(I899="A + C",I899="A"),$D$902*$D$908,0)</f>
        <v>2000000</v>
      </c>
      <c r="L899" s="53">
        <f t="shared" si="84"/>
        <v>0</v>
      </c>
      <c r="M899" s="94">
        <f t="shared" si="85"/>
        <v>2202361.111111111</v>
      </c>
      <c r="N899" s="25"/>
      <c r="O899" s="195"/>
    </row>
    <row r="900" spans="1:17" ht="15.95" customHeight="1" x14ac:dyDescent="0.25">
      <c r="A900" s="121"/>
      <c r="B900" s="23"/>
      <c r="C900" s="59" t="s">
        <v>11</v>
      </c>
      <c r="D900" s="65">
        <v>43481</v>
      </c>
      <c r="E900" s="36"/>
      <c r="F900" s="483"/>
      <c r="G900" s="484"/>
      <c r="H900" s="54"/>
      <c r="I900" s="104"/>
      <c r="J900" s="105"/>
      <c r="K900" s="105"/>
      <c r="L900" s="106"/>
      <c r="M900" s="94"/>
      <c r="N900" s="25"/>
      <c r="O900" s="197">
        <f>+M1096</f>
        <v>1204594.7488584453</v>
      </c>
      <c r="P900" s="197">
        <f>-M1096</f>
        <v>-1204594.7488584453</v>
      </c>
      <c r="Q900" s="197"/>
    </row>
    <row r="901" spans="1:17" ht="15.95" customHeight="1" x14ac:dyDescent="0.25">
      <c r="A901" s="121"/>
      <c r="B901" s="23"/>
      <c r="C901" s="59" t="s">
        <v>12</v>
      </c>
      <c r="D901" s="65">
        <v>44212</v>
      </c>
      <c r="E901" s="36"/>
      <c r="F901" s="483"/>
      <c r="G901" s="484"/>
      <c r="H901" s="109"/>
      <c r="I901" s="109"/>
      <c r="J901" s="109"/>
      <c r="K901" s="109"/>
      <c r="L901" s="109"/>
      <c r="M901" s="109"/>
      <c r="N901" s="25"/>
      <c r="O901" s="197">
        <f t="shared" ref="O901:O906" si="86">+M1097+O900</f>
        <v>2299252.2831050185</v>
      </c>
      <c r="P901" s="197">
        <f t="shared" ref="P901:P906" si="87">+(M1097/(1+$J$1106)^((H1097-$H$1096)/365))/$P$900</f>
        <v>-0.90873510388779655</v>
      </c>
      <c r="Q901" s="197">
        <f t="shared" ref="Q901:Q906" si="88">+P901*((H1097-$H$1096)/365)</f>
        <v>-0.45312270933583282</v>
      </c>
    </row>
    <row r="902" spans="1:17" ht="15.95" customHeight="1" x14ac:dyDescent="0.25">
      <c r="A902" s="121"/>
      <c r="B902" s="23"/>
      <c r="C902" s="59" t="s">
        <v>27</v>
      </c>
      <c r="D902" s="66">
        <v>4000000</v>
      </c>
      <c r="E902" s="41"/>
      <c r="F902" s="480"/>
      <c r="G902" s="484"/>
      <c r="H902" s="656" t="s">
        <v>43</v>
      </c>
      <c r="I902" s="656"/>
      <c r="J902" s="92">
        <v>0</v>
      </c>
      <c r="K902" s="92"/>
      <c r="L902" s="24"/>
      <c r="M902" s="24"/>
      <c r="N902" s="25"/>
      <c r="O902" s="197">
        <f t="shared" si="86"/>
        <v>3455799.0867579849</v>
      </c>
      <c r="P902" s="197">
        <f t="shared" si="87"/>
        <v>-0.96011277215759727</v>
      </c>
      <c r="Q902" s="197">
        <f t="shared" si="88"/>
        <v>-0.96011277215759727</v>
      </c>
    </row>
    <row r="903" spans="1:17" ht="15.95" customHeight="1" x14ac:dyDescent="0.25">
      <c r="A903" s="121"/>
      <c r="B903" s="23"/>
      <c r="C903" s="59" t="s">
        <v>26</v>
      </c>
      <c r="D903" s="66">
        <v>3</v>
      </c>
      <c r="E903" s="36"/>
      <c r="F903" s="480"/>
      <c r="G903" s="484"/>
      <c r="H903" s="657"/>
      <c r="I903" s="657"/>
      <c r="J903" s="392"/>
      <c r="K903" s="24"/>
      <c r="L903" s="33"/>
      <c r="M903" s="33"/>
      <c r="N903" s="25"/>
      <c r="O903" s="197">
        <f t="shared" si="86"/>
        <v>4336461.1872146046</v>
      </c>
      <c r="P903" s="197">
        <f t="shared" si="87"/>
        <v>-0.73108578739131513</v>
      </c>
      <c r="Q903" s="197">
        <f t="shared" si="88"/>
        <v>-1.0956271937069846</v>
      </c>
    </row>
    <row r="904" spans="1:17" ht="15.95" customHeight="1" x14ac:dyDescent="0.25">
      <c r="A904" s="121"/>
      <c r="B904" s="23"/>
      <c r="C904" s="59" t="s">
        <v>19</v>
      </c>
      <c r="D904" s="67" t="s">
        <v>20</v>
      </c>
      <c r="E904" s="43"/>
      <c r="F904" s="480"/>
      <c r="G904" s="484"/>
      <c r="H904" s="24"/>
      <c r="I904" s="24"/>
      <c r="J904" s="24"/>
      <c r="K904" s="24"/>
      <c r="L904" s="24"/>
      <c r="M904" s="24"/>
      <c r="N904" s="25"/>
      <c r="O904" s="197">
        <f t="shared" si="86"/>
        <v>5110713.4703196269</v>
      </c>
      <c r="P904" s="197">
        <f t="shared" si="87"/>
        <v>-0.64274917671586695</v>
      </c>
      <c r="Q904" s="197">
        <f t="shared" si="88"/>
        <v>-1.2854983534317339</v>
      </c>
    </row>
    <row r="905" spans="1:17" ht="15.95" customHeight="1" x14ac:dyDescent="0.25">
      <c r="A905" s="121"/>
      <c r="B905" s="23"/>
      <c r="C905" s="59" t="s">
        <v>14</v>
      </c>
      <c r="D905" s="68">
        <v>7.0000000000000007E-2</v>
      </c>
      <c r="E905" s="43"/>
      <c r="F905" s="480"/>
      <c r="G905" s="484"/>
      <c r="H905" s="638" t="s">
        <v>44</v>
      </c>
      <c r="I905" s="639"/>
      <c r="J905" s="639"/>
      <c r="K905" s="639"/>
      <c r="L905" s="639"/>
      <c r="M905" s="640"/>
      <c r="N905" s="25"/>
      <c r="O905" s="197">
        <f t="shared" si="86"/>
        <v>5110713.4703196269</v>
      </c>
      <c r="P905" s="197">
        <f t="shared" si="87"/>
        <v>0</v>
      </c>
      <c r="Q905" s="197">
        <f t="shared" si="88"/>
        <v>0</v>
      </c>
    </row>
    <row r="906" spans="1:17" ht="15.95" customHeight="1" x14ac:dyDescent="0.25">
      <c r="A906" s="121"/>
      <c r="B906" s="23"/>
      <c r="C906" s="59" t="s">
        <v>31</v>
      </c>
      <c r="D906" s="68"/>
      <c r="E906" s="43"/>
      <c r="F906" s="480"/>
      <c r="G906" s="484"/>
      <c r="H906" s="23"/>
      <c r="I906" s="24"/>
      <c r="J906" s="24"/>
      <c r="K906" s="24"/>
      <c r="L906" s="24"/>
      <c r="M906" s="25"/>
      <c r="N906" s="25"/>
      <c r="O906" s="197">
        <f t="shared" si="86"/>
        <v>5110713.4703196269</v>
      </c>
      <c r="P906" s="197">
        <f t="shared" si="87"/>
        <v>0</v>
      </c>
      <c r="Q906" s="197">
        <f t="shared" si="88"/>
        <v>0</v>
      </c>
    </row>
    <row r="907" spans="1:17" ht="15.95" customHeight="1" x14ac:dyDescent="0.25">
      <c r="A907" s="121"/>
      <c r="B907" s="23"/>
      <c r="C907" s="59" t="s">
        <v>32</v>
      </c>
      <c r="D907" s="68"/>
      <c r="E907" s="44"/>
      <c r="F907" s="480"/>
      <c r="G907" s="484"/>
      <c r="H907" s="23"/>
      <c r="I907" s="24"/>
      <c r="J907" s="24"/>
      <c r="K907" s="24"/>
      <c r="L907" s="24"/>
      <c r="M907" s="25"/>
      <c r="N907" s="25"/>
      <c r="O907" s="197"/>
      <c r="P907" s="29"/>
    </row>
    <row r="908" spans="1:17" ht="15.95" customHeight="1" x14ac:dyDescent="0.25">
      <c r="A908" s="121"/>
      <c r="B908" s="23"/>
      <c r="C908" s="59" t="s">
        <v>81</v>
      </c>
      <c r="D908" s="68">
        <v>0.5</v>
      </c>
      <c r="E908" s="24"/>
      <c r="F908" s="480"/>
      <c r="G908" s="484"/>
      <c r="H908" s="96"/>
      <c r="I908" s="35"/>
      <c r="J908" s="24"/>
      <c r="K908" s="24"/>
      <c r="L908" s="24"/>
      <c r="M908" s="25"/>
      <c r="N908" s="25"/>
      <c r="O908" s="197"/>
      <c r="P908" s="29"/>
    </row>
    <row r="909" spans="1:17" ht="15.95" customHeight="1" x14ac:dyDescent="0.25">
      <c r="A909" s="121"/>
      <c r="B909" s="23"/>
      <c r="C909" s="60"/>
      <c r="D909" s="110"/>
      <c r="E909" s="24"/>
      <c r="F909" s="480"/>
      <c r="G909" s="484"/>
      <c r="H909" s="23"/>
      <c r="I909" s="24"/>
      <c r="J909" s="24"/>
      <c r="K909" s="24"/>
      <c r="L909" s="24"/>
      <c r="M909" s="25"/>
      <c r="N909" s="25"/>
      <c r="O909" s="197"/>
      <c r="P909" s="29"/>
    </row>
    <row r="910" spans="1:17" ht="15.95" customHeight="1" x14ac:dyDescent="0.25">
      <c r="A910" s="121"/>
      <c r="B910" s="23"/>
      <c r="C910" s="24"/>
      <c r="D910" s="24"/>
      <c r="E910" s="24"/>
      <c r="F910" s="480"/>
      <c r="G910" s="484"/>
      <c r="H910" s="23"/>
      <c r="I910" s="24"/>
      <c r="J910" s="24"/>
      <c r="K910" s="24"/>
      <c r="L910" s="24"/>
      <c r="M910" s="25"/>
      <c r="N910" s="25"/>
      <c r="O910" s="197"/>
    </row>
    <row r="911" spans="1:17" ht="15.95" customHeight="1" x14ac:dyDescent="0.25">
      <c r="A911" s="121"/>
      <c r="B911" s="23"/>
      <c r="C911" s="24"/>
      <c r="D911" s="24"/>
      <c r="E911" s="24"/>
      <c r="F911" s="480"/>
      <c r="G911" s="485"/>
      <c r="H911" s="23"/>
      <c r="I911" s="24"/>
      <c r="J911" s="24"/>
      <c r="K911" s="24"/>
      <c r="L911" s="24"/>
      <c r="M911" s="25"/>
      <c r="N911" s="25"/>
      <c r="O911" s="197"/>
      <c r="P911" s="37"/>
    </row>
    <row r="912" spans="1:17" ht="15.95" customHeight="1" x14ac:dyDescent="0.25">
      <c r="A912" s="121"/>
      <c r="B912" s="23"/>
      <c r="C912" s="24"/>
      <c r="D912" s="24"/>
      <c r="E912" s="24"/>
      <c r="F912" s="480"/>
      <c r="G912" s="485"/>
      <c r="H912" s="23"/>
      <c r="I912" s="24"/>
      <c r="J912" s="24"/>
      <c r="K912" s="24"/>
      <c r="L912" s="24"/>
      <c r="M912" s="25"/>
      <c r="N912" s="25"/>
      <c r="O912" s="197"/>
    </row>
    <row r="913" spans="1:15" ht="15.95" customHeight="1" x14ac:dyDescent="0.25">
      <c r="A913" s="121"/>
      <c r="B913" s="23"/>
      <c r="C913" s="24"/>
      <c r="D913" s="24"/>
      <c r="E913" s="24"/>
      <c r="F913" s="480"/>
      <c r="G913" s="485"/>
      <c r="H913" s="23"/>
      <c r="I913" s="24"/>
      <c r="J913" s="24"/>
      <c r="K913" s="24"/>
      <c r="L913" s="24"/>
      <c r="M913" s="25"/>
      <c r="N913" s="25"/>
      <c r="O913" s="195"/>
    </row>
    <row r="914" spans="1:15" ht="15.95" customHeight="1" x14ac:dyDescent="0.25">
      <c r="A914" s="121"/>
      <c r="B914" s="23"/>
      <c r="C914" s="24"/>
      <c r="D914" s="24"/>
      <c r="E914" s="24"/>
      <c r="F914" s="480"/>
      <c r="G914" s="485"/>
      <c r="H914" s="23"/>
      <c r="I914" s="24"/>
      <c r="J914" s="24"/>
      <c r="K914" s="24"/>
      <c r="L914" s="24"/>
      <c r="M914" s="25"/>
      <c r="N914" s="25"/>
      <c r="O914" s="195"/>
    </row>
    <row r="915" spans="1:15" ht="15.95" customHeight="1" x14ac:dyDescent="0.25">
      <c r="A915" s="121"/>
      <c r="B915" s="23"/>
      <c r="C915" s="24"/>
      <c r="D915" s="24"/>
      <c r="E915" s="24"/>
      <c r="F915" s="480"/>
      <c r="G915" s="485"/>
      <c r="H915" s="23"/>
      <c r="I915" s="24"/>
      <c r="J915" s="24"/>
      <c r="K915" s="24"/>
      <c r="L915" s="24"/>
      <c r="M915" s="25"/>
      <c r="N915" s="25"/>
      <c r="O915" s="195"/>
    </row>
    <row r="916" spans="1:15" ht="15.95" customHeight="1" x14ac:dyDescent="0.25">
      <c r="A916" s="121"/>
      <c r="B916" s="23"/>
      <c r="C916" s="24"/>
      <c r="D916" s="24"/>
      <c r="E916" s="24"/>
      <c r="F916" s="480"/>
      <c r="G916" s="485"/>
      <c r="H916" s="23"/>
      <c r="I916" s="24"/>
      <c r="J916" s="24"/>
      <c r="K916" s="24"/>
      <c r="L916" s="24"/>
      <c r="M916" s="25"/>
      <c r="N916" s="25"/>
      <c r="O916" s="195"/>
    </row>
    <row r="917" spans="1:15" ht="15.95" customHeight="1" x14ac:dyDescent="0.25">
      <c r="A917" s="121"/>
      <c r="B917" s="23"/>
      <c r="C917" s="24"/>
      <c r="D917" s="24"/>
      <c r="E917" s="24"/>
      <c r="F917" s="480"/>
      <c r="G917" s="485"/>
      <c r="H917" s="23"/>
      <c r="I917" s="24"/>
      <c r="J917" s="24"/>
      <c r="K917" s="24"/>
      <c r="L917" s="24"/>
      <c r="M917" s="25"/>
      <c r="N917" s="25"/>
      <c r="O917" s="195"/>
    </row>
    <row r="918" spans="1:15" ht="15.95" customHeight="1" x14ac:dyDescent="0.25">
      <c r="A918" s="121"/>
      <c r="B918" s="23"/>
      <c r="C918" s="24"/>
      <c r="D918" s="24"/>
      <c r="E918" s="24"/>
      <c r="F918" s="480"/>
      <c r="G918" s="485"/>
      <c r="H918" s="26"/>
      <c r="I918" s="27"/>
      <c r="J918" s="27"/>
      <c r="K918" s="27"/>
      <c r="L918" s="27"/>
      <c r="M918" s="28"/>
      <c r="N918" s="25"/>
      <c r="O918" s="195"/>
    </row>
    <row r="919" spans="1:15" ht="15.95" customHeight="1" x14ac:dyDescent="0.25">
      <c r="A919" s="121"/>
      <c r="B919" s="26"/>
      <c r="C919" s="27"/>
      <c r="D919" s="27"/>
      <c r="E919" s="27"/>
      <c r="F919" s="481"/>
      <c r="G919" s="486"/>
      <c r="H919" s="27"/>
      <c r="I919" s="27"/>
      <c r="J919" s="27"/>
      <c r="K919" s="27"/>
      <c r="L919" s="27"/>
      <c r="M919" s="27"/>
      <c r="N919" s="28"/>
      <c r="O919" s="195"/>
    </row>
    <row r="920" spans="1:15" ht="15.95" customHeight="1" x14ac:dyDescent="0.25">
      <c r="A920" s="121"/>
      <c r="B920" s="635" t="s">
        <v>393</v>
      </c>
      <c r="C920" s="636"/>
      <c r="D920" s="636"/>
      <c r="E920" s="636"/>
      <c r="F920" s="636"/>
      <c r="G920" s="636"/>
      <c r="H920" s="636"/>
      <c r="I920" s="636"/>
      <c r="J920" s="636"/>
      <c r="K920" s="636"/>
      <c r="L920" s="636"/>
      <c r="M920" s="636"/>
      <c r="N920" s="637"/>
      <c r="O920" s="195"/>
    </row>
    <row r="921" spans="1:15" ht="15.95" customHeight="1" x14ac:dyDescent="0.25">
      <c r="A921" s="121"/>
      <c r="B921" s="23"/>
      <c r="C921" s="24"/>
      <c r="D921" s="24"/>
      <c r="E921" s="24"/>
      <c r="F921" s="483"/>
      <c r="G921" s="484"/>
      <c r="H921" s="31"/>
      <c r="I921" s="31"/>
      <c r="J921" s="24"/>
      <c r="K921" s="24"/>
      <c r="L921" s="24"/>
      <c r="M921" s="24"/>
      <c r="N921" s="25"/>
      <c r="O921" s="195"/>
    </row>
    <row r="922" spans="1:15" ht="15.95" customHeight="1" x14ac:dyDescent="0.25">
      <c r="A922" s="121"/>
      <c r="B922" s="23"/>
      <c r="C922" s="638" t="s">
        <v>37</v>
      </c>
      <c r="D922" s="639"/>
      <c r="E922" s="640"/>
      <c r="F922" s="483"/>
      <c r="G922" s="484"/>
      <c r="H922" s="641" t="s">
        <v>28</v>
      </c>
      <c r="I922" s="642"/>
      <c r="J922" s="39">
        <f>D941-SUMIF(H929:H933,"&lt;"&amp;$M$4,K929:K933)</f>
        <v>0</v>
      </c>
      <c r="K922" s="24"/>
      <c r="L922" s="24"/>
      <c r="M922" s="24"/>
      <c r="N922" s="25"/>
      <c r="O922" s="195"/>
    </row>
    <row r="923" spans="1:15" ht="15.95" customHeight="1" x14ac:dyDescent="0.25">
      <c r="A923" s="121"/>
      <c r="B923" s="23"/>
      <c r="C923" s="58"/>
      <c r="D923" s="664"/>
      <c r="E923" s="665"/>
      <c r="F923" s="483"/>
      <c r="G923" s="484"/>
      <c r="H923" s="645" t="s">
        <v>29</v>
      </c>
      <c r="I923" s="646"/>
      <c r="J923" s="40">
        <f>D940</f>
        <v>44948</v>
      </c>
      <c r="K923" s="24"/>
      <c r="L923" s="24"/>
      <c r="M923" s="24"/>
      <c r="N923" s="25"/>
      <c r="O923" s="195"/>
    </row>
    <row r="924" spans="1:15" ht="15.95" customHeight="1" x14ac:dyDescent="0.25">
      <c r="A924" s="121"/>
      <c r="B924" s="23"/>
      <c r="C924" s="59" t="s">
        <v>25</v>
      </c>
      <c r="D924" s="658"/>
      <c r="E924" s="659"/>
      <c r="F924" s="483"/>
      <c r="G924" s="484"/>
      <c r="H924" s="649" t="s">
        <v>30</v>
      </c>
      <c r="I924" s="650"/>
      <c r="J924" s="42" t="s">
        <v>523</v>
      </c>
      <c r="L924" s="24"/>
      <c r="M924" s="24"/>
      <c r="N924" s="25"/>
      <c r="O924" s="195"/>
    </row>
    <row r="925" spans="1:15" ht="15.95" customHeight="1" x14ac:dyDescent="0.25">
      <c r="A925" s="121"/>
      <c r="B925" s="23"/>
      <c r="C925" s="59" t="s">
        <v>6</v>
      </c>
      <c r="D925" s="658" t="s">
        <v>394</v>
      </c>
      <c r="E925" s="659"/>
      <c r="F925" s="483"/>
      <c r="G925" s="484"/>
      <c r="H925" s="24"/>
      <c r="I925" s="24"/>
      <c r="J925" s="24"/>
      <c r="K925" s="24"/>
      <c r="L925" s="24"/>
      <c r="M925" s="24"/>
      <c r="N925" s="25"/>
      <c r="O925" s="195"/>
    </row>
    <row r="926" spans="1:15" ht="15.95" customHeight="1" x14ac:dyDescent="0.25">
      <c r="A926" s="121"/>
      <c r="B926" s="23"/>
      <c r="C926" s="59" t="s">
        <v>8</v>
      </c>
      <c r="D926" s="658" t="s">
        <v>17</v>
      </c>
      <c r="E926" s="659"/>
      <c r="F926" s="483"/>
      <c r="G926" s="484"/>
      <c r="H926" s="651" t="s">
        <v>41</v>
      </c>
      <c r="I926" s="652"/>
      <c r="J926" s="652"/>
      <c r="K926" s="652"/>
      <c r="L926" s="653"/>
      <c r="M926" s="24"/>
      <c r="N926" s="25"/>
      <c r="O926" s="195"/>
    </row>
    <row r="927" spans="1:15" ht="15.95" customHeight="1" x14ac:dyDescent="0.25">
      <c r="A927" s="121"/>
      <c r="B927" s="23"/>
      <c r="C927" s="59" t="s">
        <v>33</v>
      </c>
      <c r="D927" s="73" t="s">
        <v>308</v>
      </c>
      <c r="E927" s="273">
        <v>1</v>
      </c>
      <c r="F927" s="483">
        <f>+E927*J922</f>
        <v>0</v>
      </c>
      <c r="G927" s="484"/>
      <c r="H927" s="81" t="s">
        <v>0</v>
      </c>
      <c r="I927" s="82" t="s">
        <v>2</v>
      </c>
      <c r="J927" s="82" t="s">
        <v>3</v>
      </c>
      <c r="K927" s="82" t="s">
        <v>4</v>
      </c>
      <c r="L927" s="83" t="s">
        <v>5</v>
      </c>
      <c r="M927" s="82" t="s">
        <v>44</v>
      </c>
      <c r="N927" s="25"/>
      <c r="O927" s="195"/>
    </row>
    <row r="928" spans="1:15" ht="15.95" customHeight="1" x14ac:dyDescent="0.25">
      <c r="A928" s="121"/>
      <c r="B928" s="23"/>
      <c r="C928" s="278" t="s">
        <v>33</v>
      </c>
      <c r="D928" s="73"/>
      <c r="E928" s="273"/>
      <c r="F928" s="483">
        <f>+E928*$J$2222</f>
        <v>0</v>
      </c>
      <c r="G928" s="484"/>
      <c r="H928" s="45"/>
      <c r="I928" s="46"/>
      <c r="J928" s="46"/>
      <c r="K928" s="46"/>
      <c r="L928" s="47"/>
      <c r="M928" s="101"/>
      <c r="N928" s="25"/>
      <c r="O928" s="195"/>
    </row>
    <row r="929" spans="1:15" ht="15.95" customHeight="1" x14ac:dyDescent="0.25">
      <c r="A929" s="121"/>
      <c r="B929" s="23"/>
      <c r="C929" s="59" t="s">
        <v>34</v>
      </c>
      <c r="D929" s="658" t="s">
        <v>48</v>
      </c>
      <c r="E929" s="659"/>
      <c r="F929" s="483"/>
      <c r="G929" s="484"/>
      <c r="H929" s="48">
        <f>D939</f>
        <v>44218</v>
      </c>
      <c r="I929" s="46"/>
      <c r="J929" s="49"/>
      <c r="K929" s="49"/>
      <c r="L929" s="50">
        <f>+D941</f>
        <v>50000000</v>
      </c>
      <c r="M929" s="102">
        <f>-L929</f>
        <v>-50000000</v>
      </c>
      <c r="N929" s="25"/>
      <c r="O929" s="195"/>
    </row>
    <row r="930" spans="1:15" ht="15.95" customHeight="1" x14ac:dyDescent="0.25">
      <c r="A930" s="121"/>
      <c r="B930" s="23"/>
      <c r="C930" s="79" t="s">
        <v>38</v>
      </c>
      <c r="D930" s="75"/>
      <c r="E930" s="76"/>
      <c r="F930" s="483"/>
      <c r="G930" s="484"/>
      <c r="H930" s="51">
        <v>44399</v>
      </c>
      <c r="I930" s="415" t="s">
        <v>13</v>
      </c>
      <c r="J930" s="52">
        <f>L929*($P$4+D944)*(H930-H929)/365</f>
        <v>8414640.4109589048</v>
      </c>
      <c r="K930" s="52">
        <f>D941*D947</f>
        <v>12500000</v>
      </c>
      <c r="L930" s="53">
        <f>+L929-K930</f>
        <v>37500000</v>
      </c>
      <c r="M930" s="103">
        <f>+J930+K930</f>
        <v>20914640.410958905</v>
      </c>
      <c r="N930" s="25"/>
      <c r="O930" s="195"/>
    </row>
    <row r="931" spans="1:15" ht="15.95" customHeight="1" x14ac:dyDescent="0.25">
      <c r="A931" s="121"/>
      <c r="B931" s="23"/>
      <c r="C931" s="59"/>
      <c r="D931" s="399"/>
      <c r="E931" s="271"/>
      <c r="F931" s="483"/>
      <c r="G931" s="484"/>
      <c r="H931" s="51">
        <v>44583</v>
      </c>
      <c r="I931" s="415" t="s">
        <v>13</v>
      </c>
      <c r="J931" s="52">
        <f>L930*($P$4+D945)*(H931-H930)/365</f>
        <v>6084760.2739726026</v>
      </c>
      <c r="K931" s="52">
        <v>12500000</v>
      </c>
      <c r="L931" s="53">
        <f>+L930-K931</f>
        <v>25000000</v>
      </c>
      <c r="M931" s="103">
        <f>+J931+K931</f>
        <v>18584760.273972601</v>
      </c>
      <c r="N931" s="25"/>
      <c r="O931" s="195"/>
    </row>
    <row r="932" spans="1:15" ht="15.95" customHeight="1" x14ac:dyDescent="0.25">
      <c r="A932" s="121"/>
      <c r="B932" s="23"/>
      <c r="C932" s="59"/>
      <c r="D932" s="399"/>
      <c r="E932" s="271"/>
      <c r="F932" s="483"/>
      <c r="G932" s="484"/>
      <c r="H932" s="51">
        <v>44764</v>
      </c>
      <c r="I932" s="415" t="s">
        <v>13</v>
      </c>
      <c r="J932" s="52">
        <f>L931*($P$4+D946)*(H932-H931)/365</f>
        <v>3990368.1506849322</v>
      </c>
      <c r="K932" s="52">
        <v>12500000</v>
      </c>
      <c r="L932" s="53">
        <f>+L931-K932</f>
        <v>12500000</v>
      </c>
      <c r="M932" s="103">
        <f>+J932+K932</f>
        <v>16490368.150684932</v>
      </c>
      <c r="N932" s="25"/>
      <c r="O932" s="195"/>
    </row>
    <row r="933" spans="1:15" ht="15.95" customHeight="1" x14ac:dyDescent="0.25">
      <c r="A933" s="121"/>
      <c r="B933" s="32"/>
      <c r="C933" s="473"/>
      <c r="D933" s="474" t="str">
        <f>+B920</f>
        <v>Crucianelli I</v>
      </c>
      <c r="E933" s="276"/>
      <c r="F933" s="483"/>
      <c r="G933" s="484">
        <f>+J922</f>
        <v>0</v>
      </c>
      <c r="H933" s="51">
        <v>44948</v>
      </c>
      <c r="I933" s="415" t="s">
        <v>13</v>
      </c>
      <c r="J933" s="52">
        <f>L932*($P$4+D947)*(H933-H932)/365</f>
        <v>3603595.8904109588</v>
      </c>
      <c r="K933" s="52">
        <v>12500000</v>
      </c>
      <c r="L933" s="53">
        <f>+L932-K933</f>
        <v>0</v>
      </c>
      <c r="M933" s="103">
        <f>+J933+K933</f>
        <v>16103595.89041096</v>
      </c>
      <c r="N933" s="25"/>
      <c r="O933" s="195"/>
    </row>
    <row r="934" spans="1:15" ht="15.95" customHeight="1" x14ac:dyDescent="0.25">
      <c r="A934" s="121"/>
      <c r="B934" s="32"/>
      <c r="C934" s="150"/>
      <c r="D934" s="272"/>
      <c r="E934" s="272"/>
      <c r="F934" s="483"/>
      <c r="G934" s="484"/>
      <c r="H934" s="51"/>
      <c r="I934" s="415"/>
      <c r="J934" s="52"/>
      <c r="K934" s="52"/>
      <c r="L934" s="53"/>
      <c r="M934" s="103"/>
      <c r="N934" s="25"/>
      <c r="O934" s="195"/>
    </row>
    <row r="935" spans="1:15" ht="15.95" customHeight="1" x14ac:dyDescent="0.25">
      <c r="A935" s="121"/>
      <c r="B935" s="32"/>
      <c r="C935" s="638" t="s">
        <v>36</v>
      </c>
      <c r="D935" s="640"/>
      <c r="E935" s="272"/>
      <c r="F935" s="483"/>
      <c r="G935" s="484"/>
      <c r="H935" s="51"/>
      <c r="I935" s="415"/>
      <c r="J935" s="52"/>
      <c r="K935" s="52"/>
      <c r="L935" s="53"/>
      <c r="M935" s="103"/>
      <c r="N935" s="25"/>
      <c r="O935" s="195"/>
    </row>
    <row r="936" spans="1:15" ht="15.95" customHeight="1" x14ac:dyDescent="0.25">
      <c r="A936" s="121"/>
      <c r="B936" s="32"/>
      <c r="C936" s="59"/>
      <c r="D936" s="62"/>
      <c r="E936" s="272"/>
      <c r="F936" s="483"/>
      <c r="G936" s="484"/>
      <c r="H936" s="51"/>
      <c r="I936" s="415"/>
      <c r="J936" s="52"/>
      <c r="K936" s="52"/>
      <c r="L936" s="53"/>
      <c r="M936" s="103"/>
      <c r="N936" s="25"/>
      <c r="O936" s="195"/>
    </row>
    <row r="937" spans="1:15" ht="15.95" customHeight="1" x14ac:dyDescent="0.25">
      <c r="A937" s="121"/>
      <c r="B937" s="32"/>
      <c r="C937" s="59" t="s">
        <v>9</v>
      </c>
      <c r="D937" s="98" t="s">
        <v>18</v>
      </c>
      <c r="E937" s="272"/>
      <c r="F937" s="483"/>
      <c r="G937" s="484"/>
      <c r="H937" s="51"/>
      <c r="I937" s="415"/>
      <c r="J937" s="52"/>
      <c r="K937" s="52"/>
      <c r="L937" s="53"/>
      <c r="M937" s="103"/>
      <c r="N937" s="25"/>
      <c r="O937" s="195"/>
    </row>
    <row r="938" spans="1:15" ht="15.95" customHeight="1" x14ac:dyDescent="0.25">
      <c r="A938" s="121"/>
      <c r="B938" s="23"/>
      <c r="C938" s="59" t="s">
        <v>10</v>
      </c>
      <c r="D938" s="65">
        <v>44215</v>
      </c>
      <c r="E938" s="272"/>
      <c r="F938" s="483"/>
      <c r="G938" s="484"/>
      <c r="H938" s="51"/>
      <c r="I938" s="61"/>
      <c r="J938" s="105"/>
      <c r="K938" s="105"/>
      <c r="L938" s="106"/>
      <c r="M938" s="402"/>
      <c r="N938" s="25"/>
      <c r="O938" s="195"/>
    </row>
    <row r="939" spans="1:15" ht="15.95" customHeight="1" x14ac:dyDescent="0.25">
      <c r="A939" s="121"/>
      <c r="B939" s="23"/>
      <c r="C939" s="59" t="s">
        <v>11</v>
      </c>
      <c r="D939" s="65">
        <v>44218</v>
      </c>
      <c r="E939" s="36"/>
      <c r="F939" s="483"/>
      <c r="G939" s="484"/>
      <c r="H939" s="109"/>
      <c r="I939" s="109"/>
      <c r="J939" s="109"/>
      <c r="K939" s="109"/>
      <c r="L939" s="109"/>
      <c r="M939" s="109"/>
      <c r="N939" s="25"/>
      <c r="O939" s="195"/>
    </row>
    <row r="940" spans="1:15" ht="15.95" customHeight="1" x14ac:dyDescent="0.25">
      <c r="A940" s="121"/>
      <c r="B940" s="23"/>
      <c r="C940" s="59" t="s">
        <v>12</v>
      </c>
      <c r="D940" s="65">
        <v>44948</v>
      </c>
      <c r="E940" s="36"/>
      <c r="F940" s="483"/>
      <c r="G940" s="484"/>
      <c r="H940" s="656" t="s">
        <v>43</v>
      </c>
      <c r="I940" s="656"/>
      <c r="J940" s="92">
        <f>+J922+(L933*($P$4+D944)*($M$4-H933)/365)</f>
        <v>0</v>
      </c>
      <c r="K940" s="92"/>
      <c r="L940" s="24"/>
      <c r="M940" s="24"/>
      <c r="N940" s="25"/>
      <c r="O940" s="195"/>
    </row>
    <row r="941" spans="1:15" ht="15.95" customHeight="1" x14ac:dyDescent="0.25">
      <c r="A941" s="121"/>
      <c r="B941" s="23"/>
      <c r="C941" s="59" t="s">
        <v>27</v>
      </c>
      <c r="D941" s="66">
        <v>50000000</v>
      </c>
      <c r="E941" s="36"/>
      <c r="F941" s="483"/>
      <c r="G941" s="484"/>
      <c r="H941" s="657"/>
      <c r="I941" s="657"/>
      <c r="J941" s="33"/>
      <c r="K941" s="24"/>
      <c r="L941" s="33"/>
      <c r="M941" s="33"/>
      <c r="N941" s="25"/>
      <c r="O941" s="195"/>
    </row>
    <row r="942" spans="1:15" ht="15.95" customHeight="1" x14ac:dyDescent="0.25">
      <c r="A942" s="121"/>
      <c r="B942" s="23"/>
      <c r="C942" s="59" t="s">
        <v>26</v>
      </c>
      <c r="D942" s="66">
        <v>6</v>
      </c>
      <c r="E942" s="36"/>
      <c r="F942" s="483"/>
      <c r="G942" s="484"/>
      <c r="H942" s="24"/>
      <c r="I942" s="24"/>
      <c r="J942" s="24"/>
      <c r="K942" s="24"/>
      <c r="L942" s="24"/>
      <c r="M942" s="24"/>
      <c r="N942" s="25"/>
      <c r="O942" s="195"/>
    </row>
    <row r="943" spans="1:15" ht="15.95" customHeight="1" x14ac:dyDescent="0.25">
      <c r="A943" s="121"/>
      <c r="B943" s="23"/>
      <c r="C943" s="59" t="s">
        <v>19</v>
      </c>
      <c r="D943" s="67" t="s">
        <v>20</v>
      </c>
      <c r="E943" s="36"/>
      <c r="F943" s="483"/>
      <c r="G943" s="484"/>
      <c r="H943" s="638" t="s">
        <v>44</v>
      </c>
      <c r="I943" s="639"/>
      <c r="J943" s="639"/>
      <c r="K943" s="639"/>
      <c r="L943" s="639"/>
      <c r="M943" s="640"/>
      <c r="N943" s="25"/>
      <c r="O943" s="195"/>
    </row>
    <row r="944" spans="1:15" ht="15.95" customHeight="1" x14ac:dyDescent="0.25">
      <c r="A944" s="121"/>
      <c r="B944" s="23"/>
      <c r="C944" s="59" t="s">
        <v>14</v>
      </c>
      <c r="D944" s="68">
        <v>1.7500000000000002E-2</v>
      </c>
      <c r="E944" s="36"/>
      <c r="F944" s="480"/>
      <c r="G944" s="484"/>
      <c r="H944" s="23"/>
      <c r="I944" s="24"/>
      <c r="J944" s="24"/>
      <c r="K944" s="24"/>
      <c r="L944" s="24"/>
      <c r="M944" s="25"/>
      <c r="N944" s="25"/>
      <c r="O944" s="195"/>
    </row>
    <row r="945" spans="1:15" ht="15.95" customHeight="1" x14ac:dyDescent="0.25">
      <c r="A945" s="121"/>
      <c r="B945" s="23"/>
      <c r="C945" s="59" t="s">
        <v>31</v>
      </c>
      <c r="D945" s="68"/>
      <c r="E945" s="41"/>
      <c r="F945" s="480"/>
      <c r="G945" s="484"/>
      <c r="H945" s="23"/>
      <c r="I945" s="24"/>
      <c r="J945" s="24"/>
      <c r="K945" s="24"/>
      <c r="L945" s="24"/>
      <c r="M945" s="25"/>
      <c r="N945" s="25"/>
      <c r="O945" s="195"/>
    </row>
    <row r="946" spans="1:15" ht="15.95" customHeight="1" x14ac:dyDescent="0.25">
      <c r="A946" s="121"/>
      <c r="B946" s="23"/>
      <c r="C946" s="59" t="s">
        <v>32</v>
      </c>
      <c r="D946" s="68"/>
      <c r="E946" s="36"/>
      <c r="F946" s="480"/>
      <c r="G946" s="484"/>
      <c r="H946" s="96"/>
      <c r="I946" s="35"/>
      <c r="J946" s="24"/>
      <c r="K946" s="24"/>
      <c r="L946" s="24"/>
      <c r="M946" s="25"/>
      <c r="N946" s="25"/>
      <c r="O946" s="195"/>
    </row>
    <row r="947" spans="1:15" ht="15.95" customHeight="1" x14ac:dyDescent="0.25">
      <c r="A947" s="121"/>
      <c r="B947" s="23"/>
      <c r="C947" s="59" t="s">
        <v>64</v>
      </c>
      <c r="D947" s="68">
        <v>0.25</v>
      </c>
      <c r="E947" s="43"/>
      <c r="F947" s="480"/>
      <c r="G947" s="484"/>
      <c r="H947" s="23"/>
      <c r="I947" s="24"/>
      <c r="J947" s="24"/>
      <c r="K947" s="24"/>
      <c r="L947" s="24"/>
      <c r="M947" s="25"/>
      <c r="N947" s="25"/>
      <c r="O947" s="195"/>
    </row>
    <row r="948" spans="1:15" ht="15.95" customHeight="1" x14ac:dyDescent="0.25">
      <c r="A948" s="121"/>
      <c r="B948" s="23"/>
      <c r="C948" s="60"/>
      <c r="D948" s="110"/>
      <c r="E948" s="43"/>
      <c r="F948" s="480"/>
      <c r="G948" s="484"/>
      <c r="H948" s="23"/>
      <c r="I948" s="24"/>
      <c r="J948" s="24"/>
      <c r="K948" s="24"/>
      <c r="L948" s="24"/>
      <c r="M948" s="25"/>
      <c r="N948" s="25"/>
      <c r="O948" s="195"/>
    </row>
    <row r="949" spans="1:15" ht="15.95" customHeight="1" x14ac:dyDescent="0.25">
      <c r="A949" s="121"/>
      <c r="B949" s="23"/>
      <c r="E949" s="43"/>
      <c r="F949" s="480"/>
      <c r="G949" s="484"/>
      <c r="H949" s="23"/>
      <c r="I949" s="24"/>
      <c r="J949" s="24"/>
      <c r="K949" s="24"/>
      <c r="L949" s="24"/>
      <c r="M949" s="25"/>
      <c r="N949" s="25"/>
      <c r="O949" s="195"/>
    </row>
    <row r="950" spans="1:15" ht="15.95" customHeight="1" x14ac:dyDescent="0.25">
      <c r="A950" s="121"/>
      <c r="B950" s="23"/>
      <c r="E950" s="44"/>
      <c r="F950" s="480"/>
      <c r="G950" s="484"/>
      <c r="H950" s="23"/>
      <c r="I950" s="24"/>
      <c r="J950" s="24"/>
      <c r="K950" s="24"/>
      <c r="L950" s="24"/>
      <c r="M950" s="25"/>
      <c r="N950" s="25"/>
      <c r="O950" s="195"/>
    </row>
    <row r="951" spans="1:15" ht="15.95" customHeight="1" x14ac:dyDescent="0.25">
      <c r="A951" s="121"/>
      <c r="B951" s="23"/>
      <c r="E951" s="24"/>
      <c r="F951" s="480"/>
      <c r="G951" s="484"/>
      <c r="H951" s="23"/>
      <c r="I951" s="24"/>
      <c r="J951" s="24"/>
      <c r="K951" s="24"/>
      <c r="L951" s="24"/>
      <c r="M951" s="25"/>
      <c r="N951" s="25"/>
      <c r="O951" s="195"/>
    </row>
    <row r="952" spans="1:15" ht="15.95" customHeight="1" x14ac:dyDescent="0.25">
      <c r="A952" s="121"/>
      <c r="B952" s="23"/>
      <c r="E952" s="24"/>
      <c r="F952" s="480"/>
      <c r="G952" s="484"/>
      <c r="H952" s="23"/>
      <c r="I952" s="24"/>
      <c r="J952" s="24"/>
      <c r="K952" s="24"/>
      <c r="L952" s="24"/>
      <c r="M952" s="25"/>
      <c r="N952" s="25"/>
      <c r="O952" s="195"/>
    </row>
    <row r="953" spans="1:15" ht="15.95" customHeight="1" x14ac:dyDescent="0.25">
      <c r="A953" s="121"/>
      <c r="B953" s="23"/>
      <c r="C953" s="24"/>
      <c r="D953" s="24"/>
      <c r="E953" s="24"/>
      <c r="F953" s="480"/>
      <c r="G953" s="485"/>
      <c r="H953" s="23"/>
      <c r="I953" s="24"/>
      <c r="J953" s="24"/>
      <c r="K953" s="24"/>
      <c r="L953" s="24"/>
      <c r="M953" s="25"/>
      <c r="N953" s="25"/>
      <c r="O953" s="195"/>
    </row>
    <row r="954" spans="1:15" ht="15.95" customHeight="1" x14ac:dyDescent="0.25">
      <c r="A954" s="121"/>
      <c r="B954" s="23"/>
      <c r="C954" s="24"/>
      <c r="D954" s="24"/>
      <c r="E954" s="24"/>
      <c r="F954" s="480"/>
      <c r="G954" s="485"/>
      <c r="H954" s="23"/>
      <c r="I954" s="24"/>
      <c r="J954" s="24"/>
      <c r="K954" s="24"/>
      <c r="L954" s="24"/>
      <c r="M954" s="25"/>
      <c r="N954" s="25"/>
      <c r="O954" s="195"/>
    </row>
    <row r="955" spans="1:15" ht="15.95" customHeight="1" x14ac:dyDescent="0.25">
      <c r="A955" s="121"/>
      <c r="B955" s="23"/>
      <c r="C955" s="24"/>
      <c r="D955" s="24"/>
      <c r="E955" s="24"/>
      <c r="F955" s="480"/>
      <c r="G955" s="485"/>
      <c r="H955" s="23"/>
      <c r="I955" s="24"/>
      <c r="J955" s="24"/>
      <c r="K955" s="24"/>
      <c r="L955" s="24"/>
      <c r="M955" s="25"/>
      <c r="N955" s="25"/>
      <c r="O955" s="195"/>
    </row>
    <row r="956" spans="1:15" ht="15.95" customHeight="1" x14ac:dyDescent="0.25">
      <c r="A956" s="121"/>
      <c r="B956" s="23"/>
      <c r="C956" s="24"/>
      <c r="D956" s="24"/>
      <c r="E956" s="24"/>
      <c r="F956" s="480"/>
      <c r="G956" s="485"/>
      <c r="H956" s="26"/>
      <c r="I956" s="27"/>
      <c r="J956" s="27"/>
      <c r="K956" s="27"/>
      <c r="L956" s="27"/>
      <c r="M956" s="28"/>
      <c r="N956" s="25"/>
      <c r="O956" s="195"/>
    </row>
    <row r="957" spans="1:15" ht="15.95" customHeight="1" x14ac:dyDescent="0.25">
      <c r="A957" s="121"/>
      <c r="B957" s="26"/>
      <c r="C957" s="27"/>
      <c r="D957" s="27"/>
      <c r="E957" s="27"/>
      <c r="F957" s="481"/>
      <c r="G957" s="486"/>
      <c r="H957" s="27"/>
      <c r="I957" s="27"/>
      <c r="J957" s="27"/>
      <c r="K957" s="27"/>
      <c r="L957" s="27"/>
      <c r="M957" s="27"/>
      <c r="N957" s="28"/>
      <c r="O957" s="195"/>
    </row>
    <row r="958" spans="1:15" ht="15.95" customHeight="1" x14ac:dyDescent="0.25">
      <c r="A958" s="121"/>
      <c r="B958" s="635" t="s">
        <v>395</v>
      </c>
      <c r="C958" s="636"/>
      <c r="D958" s="636"/>
      <c r="E958" s="636"/>
      <c r="F958" s="636"/>
      <c r="G958" s="636"/>
      <c r="H958" s="636"/>
      <c r="I958" s="636"/>
      <c r="J958" s="636"/>
      <c r="K958" s="636"/>
      <c r="L958" s="636"/>
      <c r="M958" s="636"/>
      <c r="N958" s="637"/>
      <c r="O958" s="195"/>
    </row>
    <row r="959" spans="1:15" ht="15.95" customHeight="1" x14ac:dyDescent="0.25">
      <c r="A959" s="121"/>
      <c r="B959" s="23"/>
      <c r="C959" s="24"/>
      <c r="D959" s="24"/>
      <c r="E959" s="24"/>
      <c r="F959" s="483"/>
      <c r="G959" s="484"/>
      <c r="H959" s="31"/>
      <c r="I959" s="31"/>
      <c r="J959" s="24"/>
      <c r="K959" s="24"/>
      <c r="L959" s="24"/>
      <c r="M959" s="24"/>
      <c r="N959" s="25"/>
      <c r="O959" s="195"/>
    </row>
    <row r="960" spans="1:15" ht="15.95" customHeight="1" x14ac:dyDescent="0.25">
      <c r="A960" s="121"/>
      <c r="B960" s="23"/>
      <c r="C960" s="638" t="s">
        <v>37</v>
      </c>
      <c r="D960" s="639"/>
      <c r="E960" s="640"/>
      <c r="F960" s="483"/>
      <c r="G960" s="484"/>
      <c r="H960" s="641" t="s">
        <v>28</v>
      </c>
      <c r="I960" s="642"/>
      <c r="J960" s="39">
        <v>0</v>
      </c>
      <c r="K960" s="24"/>
      <c r="L960" s="24"/>
      <c r="M960" s="24"/>
      <c r="N960" s="25"/>
      <c r="O960" s="195"/>
    </row>
    <row r="961" spans="1:17" ht="15.95" customHeight="1" x14ac:dyDescent="0.25">
      <c r="A961" s="121"/>
      <c r="B961" s="23"/>
      <c r="C961" s="58"/>
      <c r="D961" s="643"/>
      <c r="E961" s="644"/>
      <c r="F961" s="483"/>
      <c r="G961" s="484"/>
      <c r="H961" s="645" t="s">
        <v>29</v>
      </c>
      <c r="I961" s="646"/>
      <c r="J961" s="40">
        <f>D978</f>
        <v>45282</v>
      </c>
      <c r="K961" s="24"/>
      <c r="L961" s="24"/>
      <c r="M961" s="24"/>
      <c r="N961" s="25"/>
      <c r="O961" s="195"/>
    </row>
    <row r="962" spans="1:17" ht="15.95" customHeight="1" x14ac:dyDescent="0.25">
      <c r="A962" s="121"/>
      <c r="B962" s="23"/>
      <c r="C962" s="59" t="s">
        <v>25</v>
      </c>
      <c r="D962" s="647"/>
      <c r="E962" s="648"/>
      <c r="F962" s="483"/>
      <c r="G962" s="484"/>
      <c r="H962" s="649" t="s">
        <v>30</v>
      </c>
      <c r="I962" s="650"/>
      <c r="J962" s="42" t="s">
        <v>357</v>
      </c>
      <c r="L962" s="24"/>
      <c r="M962" s="24"/>
      <c r="N962" s="25"/>
      <c r="O962" s="195"/>
    </row>
    <row r="963" spans="1:17" ht="15.95" customHeight="1" x14ac:dyDescent="0.25">
      <c r="A963" s="121"/>
      <c r="B963" s="23"/>
      <c r="C963" s="59" t="s">
        <v>6</v>
      </c>
      <c r="D963" s="647" t="s">
        <v>396</v>
      </c>
      <c r="E963" s="648"/>
      <c r="F963" s="483"/>
      <c r="G963" s="484"/>
      <c r="H963" s="24"/>
      <c r="I963" s="24"/>
      <c r="J963" s="24"/>
      <c r="K963" s="24"/>
      <c r="L963" s="24"/>
      <c r="M963" s="24"/>
      <c r="N963" s="25"/>
      <c r="O963" s="195"/>
    </row>
    <row r="964" spans="1:17" ht="15.95" customHeight="1" x14ac:dyDescent="0.25">
      <c r="A964" s="121"/>
      <c r="B964" s="23"/>
      <c r="C964" s="59" t="s">
        <v>8</v>
      </c>
      <c r="D964" s="647" t="s">
        <v>61</v>
      </c>
      <c r="E964" s="648"/>
      <c r="F964" s="483"/>
      <c r="G964" s="484"/>
      <c r="H964" s="651" t="s">
        <v>41</v>
      </c>
      <c r="I964" s="652"/>
      <c r="J964" s="652"/>
      <c r="K964" s="652"/>
      <c r="L964" s="653"/>
      <c r="M964" s="24"/>
      <c r="N964" s="25"/>
      <c r="O964" s="195"/>
    </row>
    <row r="965" spans="1:17" ht="15.95" customHeight="1" x14ac:dyDescent="0.25">
      <c r="A965" s="121"/>
      <c r="B965" s="23"/>
      <c r="C965" s="59" t="s">
        <v>33</v>
      </c>
      <c r="D965" s="73"/>
      <c r="E965" s="273"/>
      <c r="F965" s="483">
        <f>+E965*J960</f>
        <v>0</v>
      </c>
      <c r="G965" s="484"/>
      <c r="H965" s="81" t="s">
        <v>0</v>
      </c>
      <c r="I965" s="82" t="s">
        <v>2</v>
      </c>
      <c r="J965" s="82" t="s">
        <v>3</v>
      </c>
      <c r="K965" s="82" t="s">
        <v>4</v>
      </c>
      <c r="L965" s="83" t="s">
        <v>5</v>
      </c>
      <c r="M965" s="82" t="s">
        <v>44</v>
      </c>
      <c r="N965" s="25"/>
      <c r="O965" s="195"/>
    </row>
    <row r="966" spans="1:17" ht="15.95" customHeight="1" x14ac:dyDescent="0.25">
      <c r="A966" s="121"/>
      <c r="B966" s="23"/>
      <c r="C966" s="278" t="s">
        <v>33</v>
      </c>
      <c r="D966" s="73"/>
      <c r="E966" s="273"/>
      <c r="F966" s="483">
        <f>+E966*$J$2222</f>
        <v>0</v>
      </c>
      <c r="G966" s="484"/>
      <c r="H966" s="45"/>
      <c r="I966" s="46"/>
      <c r="J966" s="46"/>
      <c r="K966" s="46"/>
      <c r="L966" s="47"/>
      <c r="M966" s="101"/>
      <c r="N966" s="25"/>
      <c r="O966" s="195"/>
    </row>
    <row r="967" spans="1:17" ht="15.95" customHeight="1" x14ac:dyDescent="0.25">
      <c r="A967" s="121"/>
      <c r="B967" s="23"/>
      <c r="C967" s="59" t="s">
        <v>34</v>
      </c>
      <c r="D967" s="654" t="s">
        <v>48</v>
      </c>
      <c r="E967" s="655"/>
      <c r="F967" s="483"/>
      <c r="G967" s="484"/>
      <c r="H967" s="48">
        <f>D977</f>
        <v>44552</v>
      </c>
      <c r="I967" s="46"/>
      <c r="J967" s="49"/>
      <c r="K967" s="49"/>
      <c r="L967" s="50">
        <f>+D979</f>
        <v>12000000</v>
      </c>
      <c r="M967" s="102">
        <f>-L967</f>
        <v>-12000000</v>
      </c>
      <c r="N967" s="25"/>
      <c r="O967" s="195"/>
    </row>
    <row r="968" spans="1:17" ht="15.95" customHeight="1" x14ac:dyDescent="0.25">
      <c r="A968" s="121"/>
      <c r="B968" s="23"/>
      <c r="C968" s="79" t="s">
        <v>38</v>
      </c>
      <c r="D968" s="75"/>
      <c r="E968" s="76"/>
      <c r="F968" s="483"/>
      <c r="G968" s="484"/>
      <c r="H968" s="51">
        <v>44614</v>
      </c>
      <c r="I968" s="423" t="s">
        <v>7</v>
      </c>
      <c r="J968" s="52">
        <f>L967*($P$4+D982)*(H968-H967)/365</f>
        <v>778397.26027397264</v>
      </c>
      <c r="K968" s="425">
        <v>0</v>
      </c>
      <c r="L968" s="53">
        <f>+L967-K968</f>
        <v>12000000</v>
      </c>
      <c r="M968" s="103">
        <f>+J968+K968</f>
        <v>778397.26027397264</v>
      </c>
      <c r="N968" s="25"/>
      <c r="O968" s="194" t="str">
        <f>+D1130</f>
        <v>ON Pyme CNV Garantizada</v>
      </c>
    </row>
    <row r="969" spans="1:17" ht="15.95" customHeight="1" x14ac:dyDescent="0.25">
      <c r="A969" s="121"/>
      <c r="B969" s="23"/>
      <c r="C969" s="59"/>
      <c r="D969" s="399"/>
      <c r="E969" s="271"/>
      <c r="F969" s="483"/>
      <c r="G969" s="484"/>
      <c r="H969" s="51">
        <v>44673</v>
      </c>
      <c r="I969" s="415" t="s">
        <v>13</v>
      </c>
      <c r="J969" s="52">
        <f>L968*($P$4+D983)*(H969-H968)/365</f>
        <v>624349.31506849325</v>
      </c>
      <c r="K969" s="425">
        <f>D979*D985</f>
        <v>2040000.0000000002</v>
      </c>
      <c r="L969" s="53">
        <f>+L968-K969</f>
        <v>9960000</v>
      </c>
      <c r="M969" s="103">
        <f>+J969+K969</f>
        <v>2664349.3150684936</v>
      </c>
      <c r="N969" s="25"/>
      <c r="O969" s="195"/>
    </row>
    <row r="970" spans="1:17" ht="15.95" customHeight="1" x14ac:dyDescent="0.25">
      <c r="A970" s="121"/>
      <c r="B970" s="23"/>
      <c r="C970" s="59"/>
      <c r="D970" s="399"/>
      <c r="E970" s="271"/>
      <c r="F970" s="483"/>
      <c r="G970" s="484"/>
      <c r="H970" s="51">
        <v>44734</v>
      </c>
      <c r="I970" s="423" t="s">
        <v>7</v>
      </c>
      <c r="J970" s="52">
        <f>L969*($P$4+D984)*(H970-H969)/365</f>
        <v>535776.36986301374</v>
      </c>
      <c r="K970" s="425">
        <v>0</v>
      </c>
      <c r="L970" s="53">
        <f>+L969-K970</f>
        <v>9960000</v>
      </c>
      <c r="M970" s="103">
        <f>+J970+K970</f>
        <v>535776.36986301374</v>
      </c>
      <c r="N970" s="25"/>
      <c r="O970" s="194" t="str">
        <f>+IF(J1128="vencida",IF(D1130='Reporte - Oscuro'!$C$40,'Reporte - Oscuro'!$C$40&amp;" vencida",IF(D1130='Reporte - Oscuro'!$C$41,'Reporte - Oscuro'!$C$41&amp;" vencida",IF(D1130='Reporte - Oscuro'!$C$42,'Reporte - Oscuro'!$C$42&amp;" vencida",'Reporte - Oscuro'!$C$43&amp;" vencida"))),D1130&amp;" vigente")</f>
        <v>ON Pyme CNV Garantizada vencida</v>
      </c>
    </row>
    <row r="971" spans="1:17" ht="15.95" customHeight="1" x14ac:dyDescent="0.25">
      <c r="A971" s="121"/>
      <c r="B971" s="32"/>
      <c r="C971" s="60"/>
      <c r="D971" s="400" t="str">
        <f>+B958</f>
        <v>Cumar III</v>
      </c>
      <c r="E971" s="401"/>
      <c r="F971" s="483"/>
      <c r="G971" s="484">
        <f>+J960</f>
        <v>0</v>
      </c>
      <c r="H971" s="51">
        <v>44795</v>
      </c>
      <c r="I971" s="415" t="s">
        <v>13</v>
      </c>
      <c r="J971" s="52">
        <f>L970*($P$4+D985)*(H971-H970)/365</f>
        <v>818749.5205479454</v>
      </c>
      <c r="K971" s="425">
        <v>2040000.0000000002</v>
      </c>
      <c r="L971" s="53">
        <f>+L970-K971</f>
        <v>7920000</v>
      </c>
      <c r="M971" s="103">
        <f>+J971+K971</f>
        <v>2858749.5205479455</v>
      </c>
      <c r="N971" s="25"/>
      <c r="O971" s="195"/>
    </row>
    <row r="972" spans="1:17" ht="15.95" customHeight="1" x14ac:dyDescent="0.25">
      <c r="A972" s="121"/>
      <c r="B972" s="32"/>
      <c r="C972" s="150"/>
      <c r="D972" s="272"/>
      <c r="E972" s="272"/>
      <c r="F972" s="483"/>
      <c r="G972" s="484"/>
      <c r="H972" s="51">
        <v>44856</v>
      </c>
      <c r="I972" s="415" t="s">
        <v>7</v>
      </c>
      <c r="J972" s="52">
        <f t="shared" ref="J972:J979" si="89">L971*($P$4+D986)*(H972-H971)/365</f>
        <v>624581.50684931513</v>
      </c>
      <c r="K972" s="425">
        <v>0</v>
      </c>
      <c r="L972" s="53">
        <f t="shared" ref="L972:L979" si="90">+L971-K972</f>
        <v>7920000</v>
      </c>
      <c r="M972" s="103">
        <f t="shared" ref="M972:M979" si="91">+J972+K972</f>
        <v>624581.50684931513</v>
      </c>
      <c r="N972" s="25"/>
      <c r="O972" s="195"/>
    </row>
    <row r="973" spans="1:17" ht="20.100000000000001" customHeight="1" x14ac:dyDescent="0.25">
      <c r="A973" s="121"/>
      <c r="B973" s="32"/>
      <c r="C973" s="638" t="s">
        <v>36</v>
      </c>
      <c r="D973" s="640"/>
      <c r="E973" s="272"/>
      <c r="F973" s="483"/>
      <c r="G973" s="484"/>
      <c r="H973" s="51">
        <v>44917</v>
      </c>
      <c r="I973" s="415" t="s">
        <v>13</v>
      </c>
      <c r="J973" s="52">
        <f t="shared" si="89"/>
        <v>426039.0410958904</v>
      </c>
      <c r="K973" s="425">
        <v>2040000.0000000002</v>
      </c>
      <c r="L973" s="53">
        <f t="shared" si="90"/>
        <v>5880000</v>
      </c>
      <c r="M973" s="103">
        <f t="shared" si="91"/>
        <v>2466039.0410958906</v>
      </c>
      <c r="N973" s="25"/>
      <c r="O973" s="195"/>
    </row>
    <row r="974" spans="1:17" ht="15.95" customHeight="1" x14ac:dyDescent="0.25">
      <c r="A974" s="121"/>
      <c r="B974" s="32"/>
      <c r="C974" s="59"/>
      <c r="D974" s="62"/>
      <c r="E974" s="272"/>
      <c r="F974" s="483"/>
      <c r="G974" s="484"/>
      <c r="H974" s="51">
        <v>44979</v>
      </c>
      <c r="I974" s="415" t="s">
        <v>7</v>
      </c>
      <c r="J974" s="52">
        <f t="shared" si="89"/>
        <v>321486.98630136991</v>
      </c>
      <c r="K974" s="425">
        <v>0</v>
      </c>
      <c r="L974" s="53">
        <f t="shared" si="90"/>
        <v>5880000</v>
      </c>
      <c r="M974" s="103">
        <f t="shared" si="91"/>
        <v>321486.98630136991</v>
      </c>
      <c r="N974" s="25"/>
      <c r="O974" s="195"/>
    </row>
    <row r="975" spans="1:17" ht="15.95" customHeight="1" x14ac:dyDescent="0.25">
      <c r="A975" s="121"/>
      <c r="B975" s="32"/>
      <c r="C975" s="59" t="s">
        <v>9</v>
      </c>
      <c r="D975" s="98" t="s">
        <v>18</v>
      </c>
      <c r="E975" s="272"/>
      <c r="F975" s="483"/>
      <c r="G975" s="484"/>
      <c r="H975" s="51">
        <v>45038</v>
      </c>
      <c r="I975" s="415" t="s">
        <v>13</v>
      </c>
      <c r="J975" s="52">
        <f t="shared" si="89"/>
        <v>305931.1643835617</v>
      </c>
      <c r="K975" s="425">
        <v>2040000.0000000002</v>
      </c>
      <c r="L975" s="53">
        <f t="shared" si="90"/>
        <v>3840000</v>
      </c>
      <c r="M975" s="103">
        <f t="shared" si="91"/>
        <v>2345931.1643835618</v>
      </c>
      <c r="N975" s="25"/>
      <c r="O975" s="197">
        <f>+M1133</f>
        <v>-2800000</v>
      </c>
      <c r="P975" s="197">
        <f>-M1133</f>
        <v>2800000</v>
      </c>
      <c r="Q975" s="197"/>
    </row>
    <row r="976" spans="1:17" ht="15.95" customHeight="1" x14ac:dyDescent="0.25">
      <c r="A976" s="121"/>
      <c r="B976" s="23"/>
      <c r="C976" s="59" t="s">
        <v>10</v>
      </c>
      <c r="D976" s="65">
        <v>44547</v>
      </c>
      <c r="E976" s="272"/>
      <c r="F976" s="483"/>
      <c r="G976" s="484"/>
      <c r="H976" s="51">
        <v>45099</v>
      </c>
      <c r="I976" s="415" t="s">
        <v>7</v>
      </c>
      <c r="J976" s="52">
        <f t="shared" si="89"/>
        <v>206564.38356164383</v>
      </c>
      <c r="K976" s="425">
        <v>0</v>
      </c>
      <c r="L976" s="53">
        <f t="shared" si="90"/>
        <v>3840000</v>
      </c>
      <c r="M976" s="103">
        <f t="shared" si="91"/>
        <v>206564.38356164383</v>
      </c>
      <c r="N976" s="25"/>
      <c r="O976" s="197">
        <f t="shared" ref="O976:O987" si="92">+M1134+O975</f>
        <v>-2164874.4444444445</v>
      </c>
      <c r="P976" s="197">
        <f t="shared" ref="P976:P987" si="93">+(M1134/(1+$J$1149)^((H1134-$H$1133)/365))/$P$975</f>
        <v>0.22683055555555554</v>
      </c>
      <c r="Q976" s="197">
        <f t="shared" ref="Q976:Q987" si="94">+P976*((H1134-$H$1133)/365)</f>
        <v>5.717372907153729E-2</v>
      </c>
    </row>
    <row r="977" spans="1:17" ht="15.95" customHeight="1" x14ac:dyDescent="0.25">
      <c r="A977" s="121"/>
      <c r="B977" s="23"/>
      <c r="C977" s="59" t="s">
        <v>11</v>
      </c>
      <c r="D977" s="65">
        <v>44552</v>
      </c>
      <c r="E977" s="36"/>
      <c r="F977" s="483"/>
      <c r="G977" s="484"/>
      <c r="H977" s="51">
        <v>45160</v>
      </c>
      <c r="I977" s="424" t="s">
        <v>13</v>
      </c>
      <c r="J977" s="429">
        <f t="shared" si="89"/>
        <v>206564.38356164383</v>
      </c>
      <c r="K977" s="426">
        <v>2040000.0000000002</v>
      </c>
      <c r="L977" s="430">
        <f t="shared" si="90"/>
        <v>1799999.9999999998</v>
      </c>
      <c r="M977" s="103">
        <f t="shared" si="91"/>
        <v>2246564.3835616442</v>
      </c>
      <c r="N977" s="25"/>
      <c r="O977" s="197">
        <f t="shared" si="92"/>
        <v>-1581671.5444444446</v>
      </c>
      <c r="P977" s="197">
        <f t="shared" si="93"/>
        <v>0.20828674999999996</v>
      </c>
      <c r="Q977" s="197">
        <f t="shared" si="94"/>
        <v>0.10385805068493149</v>
      </c>
    </row>
    <row r="978" spans="1:17" ht="15.95" customHeight="1" x14ac:dyDescent="0.25">
      <c r="A978" s="121"/>
      <c r="B978" s="23"/>
      <c r="C978" s="59" t="s">
        <v>12</v>
      </c>
      <c r="D978" s="65">
        <v>45282</v>
      </c>
      <c r="E978" s="36"/>
      <c r="F978" s="483"/>
      <c r="G978" s="484"/>
      <c r="H978" s="51">
        <v>45221</v>
      </c>
      <c r="I978" s="423" t="s">
        <v>7</v>
      </c>
      <c r="J978" s="52">
        <f t="shared" si="89"/>
        <v>96827.054794520547</v>
      </c>
      <c r="K978" s="427">
        <v>0</v>
      </c>
      <c r="L978" s="53">
        <f t="shared" si="90"/>
        <v>1799999.9999999998</v>
      </c>
      <c r="M978" s="103">
        <f t="shared" si="91"/>
        <v>96827.054794520547</v>
      </c>
      <c r="N978" s="25"/>
      <c r="O978" s="197">
        <f t="shared" si="92"/>
        <v>-1021778.1359722223</v>
      </c>
      <c r="P978" s="197">
        <f t="shared" si="93"/>
        <v>0.19996193159722225</v>
      </c>
      <c r="Q978" s="197">
        <f t="shared" si="94"/>
        <v>0.14956056801655254</v>
      </c>
    </row>
    <row r="979" spans="1:17" ht="15.95" customHeight="1" x14ac:dyDescent="0.25">
      <c r="A979" s="121"/>
      <c r="B979" s="23"/>
      <c r="C979" s="59" t="s">
        <v>27</v>
      </c>
      <c r="D979" s="66">
        <v>12000000</v>
      </c>
      <c r="E979" s="36"/>
      <c r="F979" s="483"/>
      <c r="G979" s="484"/>
      <c r="H979" s="51">
        <v>45282</v>
      </c>
      <c r="I979" s="423" t="s">
        <v>13</v>
      </c>
      <c r="J979" s="52">
        <f t="shared" si="89"/>
        <v>96827.054794520547</v>
      </c>
      <c r="K979" s="428">
        <f>D979*D986</f>
        <v>1800000</v>
      </c>
      <c r="L979" s="53">
        <f t="shared" si="90"/>
        <v>0</v>
      </c>
      <c r="M979" s="103">
        <f t="shared" si="91"/>
        <v>1896827.0547945206</v>
      </c>
      <c r="N979" s="25"/>
      <c r="O979" s="197">
        <f t="shared" si="92"/>
        <v>-472715.21986111114</v>
      </c>
      <c r="P979" s="197">
        <f t="shared" si="93"/>
        <v>0.19609389861111112</v>
      </c>
      <c r="Q979" s="197">
        <f t="shared" si="94"/>
        <v>0.19609389861111112</v>
      </c>
    </row>
    <row r="980" spans="1:17" ht="15.95" customHeight="1" x14ac:dyDescent="0.25">
      <c r="A980" s="121"/>
      <c r="B980" s="23"/>
      <c r="C980" s="59" t="s">
        <v>26</v>
      </c>
      <c r="D980" s="66">
        <v>2</v>
      </c>
      <c r="E980" s="36"/>
      <c r="F980" s="483"/>
      <c r="G980" s="484"/>
      <c r="N980" s="25"/>
      <c r="O980" s="197">
        <f t="shared" si="92"/>
        <v>14874.407916666591</v>
      </c>
      <c r="P980" s="197">
        <f t="shared" si="93"/>
        <v>0.17413915277777775</v>
      </c>
      <c r="Q980" s="197">
        <f t="shared" si="94"/>
        <v>0.21803176114916284</v>
      </c>
    </row>
    <row r="981" spans="1:17" ht="15.95" customHeight="1" x14ac:dyDescent="0.25">
      <c r="A981" s="121"/>
      <c r="B981" s="23"/>
      <c r="C981" s="59" t="s">
        <v>19</v>
      </c>
      <c r="D981" s="67" t="s">
        <v>20</v>
      </c>
      <c r="E981" s="36"/>
      <c r="F981" s="483"/>
      <c r="G981" s="484"/>
      <c r="N981" s="25"/>
      <c r="O981" s="197">
        <f t="shared" si="92"/>
        <v>408548.15166666661</v>
      </c>
      <c r="P981" s="197">
        <f t="shared" si="93"/>
        <v>0.14059776562500001</v>
      </c>
      <c r="Q981" s="197">
        <f t="shared" si="94"/>
        <v>0.21108924811643837</v>
      </c>
    </row>
    <row r="982" spans="1:17" ht="15.95" customHeight="1" x14ac:dyDescent="0.25">
      <c r="A982" s="121"/>
      <c r="B982" s="23"/>
      <c r="C982" s="59" t="s">
        <v>14</v>
      </c>
      <c r="D982" s="68">
        <v>0.06</v>
      </c>
      <c r="E982" s="36"/>
      <c r="F982" s="480"/>
      <c r="G982" s="484"/>
      <c r="H982" s="656" t="s">
        <v>43</v>
      </c>
      <c r="I982" s="656"/>
      <c r="J982" s="92">
        <f>+J960+(L979*($P$4+D982)*($M$4-H979)/365)</f>
        <v>0</v>
      </c>
      <c r="K982" s="92"/>
      <c r="L982" s="24"/>
      <c r="M982" s="24"/>
      <c r="N982" s="25"/>
      <c r="O982" s="197">
        <f t="shared" si="92"/>
        <v>760968.0944444444</v>
      </c>
      <c r="P982" s="197">
        <f t="shared" si="93"/>
        <v>0.12586426527777778</v>
      </c>
      <c r="Q982" s="197">
        <f t="shared" si="94"/>
        <v>0.22034867263698629</v>
      </c>
    </row>
    <row r="983" spans="1:17" ht="15.95" customHeight="1" x14ac:dyDescent="0.25">
      <c r="A983" s="121"/>
      <c r="B983" s="23"/>
      <c r="C983" s="59" t="s">
        <v>31</v>
      </c>
      <c r="D983" s="68"/>
      <c r="E983" s="41"/>
      <c r="F983" s="480"/>
      <c r="G983" s="484"/>
      <c r="H983" s="657"/>
      <c r="I983" s="657"/>
      <c r="J983" s="33"/>
      <c r="K983" s="24"/>
      <c r="L983" s="33"/>
      <c r="M983" s="33"/>
      <c r="N983" s="25"/>
      <c r="O983" s="197">
        <f t="shared" si="92"/>
        <v>1094628.1266666665</v>
      </c>
      <c r="P983" s="197">
        <f t="shared" si="93"/>
        <v>0.11916429722222222</v>
      </c>
      <c r="Q983" s="197">
        <f t="shared" si="94"/>
        <v>0.23865507197108066</v>
      </c>
    </row>
    <row r="984" spans="1:17" ht="15.95" customHeight="1" x14ac:dyDescent="0.25">
      <c r="A984" s="121"/>
      <c r="B984" s="23"/>
      <c r="C984" s="59" t="s">
        <v>32</v>
      </c>
      <c r="D984" s="68"/>
      <c r="E984" s="36"/>
      <c r="F984" s="480"/>
      <c r="G984" s="484"/>
      <c r="H984" s="24"/>
      <c r="I984" s="24"/>
      <c r="J984" s="24"/>
      <c r="K984" s="24"/>
      <c r="L984" s="24"/>
      <c r="M984" s="24"/>
      <c r="N984" s="25"/>
      <c r="O984" s="197">
        <f t="shared" si="92"/>
        <v>1409962.3844444442</v>
      </c>
      <c r="P984" s="197">
        <f t="shared" si="93"/>
        <v>0.11261937777777778</v>
      </c>
      <c r="Q984" s="197">
        <f t="shared" si="94"/>
        <v>0.25455064840182651</v>
      </c>
    </row>
    <row r="985" spans="1:17" ht="15.95" customHeight="1" x14ac:dyDescent="0.25">
      <c r="A985" s="121"/>
      <c r="B985" s="23"/>
      <c r="C985" s="59" t="s">
        <v>42</v>
      </c>
      <c r="D985" s="68">
        <v>0.17</v>
      </c>
      <c r="E985" s="43"/>
      <c r="F985" s="480"/>
      <c r="G985" s="484"/>
      <c r="H985" s="638" t="s">
        <v>44</v>
      </c>
      <c r="I985" s="639"/>
      <c r="J985" s="639"/>
      <c r="K985" s="639"/>
      <c r="L985" s="639"/>
      <c r="M985" s="640"/>
      <c r="N985" s="25"/>
      <c r="O985" s="197">
        <f t="shared" si="92"/>
        <v>1700880.4088888885</v>
      </c>
      <c r="P985" s="197">
        <f t="shared" si="93"/>
        <v>0.10389929444444444</v>
      </c>
      <c r="Q985" s="197">
        <f t="shared" si="94"/>
        <v>0.25989056391171994</v>
      </c>
    </row>
    <row r="986" spans="1:17" ht="15.95" customHeight="1" x14ac:dyDescent="0.25">
      <c r="A986" s="121"/>
      <c r="B986" s="23"/>
      <c r="C986" s="60" t="s">
        <v>55</v>
      </c>
      <c r="D986" s="110">
        <v>0.15</v>
      </c>
      <c r="E986" s="43"/>
      <c r="F986" s="480"/>
      <c r="G986" s="484"/>
      <c r="H986" s="23"/>
      <c r="I986" s="24"/>
      <c r="J986" s="24"/>
      <c r="K986" s="24"/>
      <c r="L986" s="24"/>
      <c r="M986" s="25"/>
      <c r="N986" s="25"/>
      <c r="O986" s="197">
        <f t="shared" si="92"/>
        <v>1972786.7949999997</v>
      </c>
      <c r="P986" s="197">
        <f t="shared" si="93"/>
        <v>9.7109423611111106E-2</v>
      </c>
      <c r="Q986" s="197">
        <f t="shared" si="94"/>
        <v>0.26711742823439877</v>
      </c>
    </row>
    <row r="987" spans="1:17" ht="15.95" customHeight="1" x14ac:dyDescent="0.25">
      <c r="A987" s="121"/>
      <c r="B987" s="23"/>
      <c r="E987" s="43"/>
      <c r="F987" s="480"/>
      <c r="G987" s="484"/>
      <c r="H987" s="23"/>
      <c r="I987" s="24"/>
      <c r="J987" s="24"/>
      <c r="K987" s="24"/>
      <c r="L987" s="24"/>
      <c r="M987" s="25"/>
      <c r="N987" s="25"/>
      <c r="O987" s="197">
        <f t="shared" si="92"/>
        <v>2225591.1922222218</v>
      </c>
      <c r="P987" s="197">
        <f t="shared" si="93"/>
        <v>9.0287284722222222E-2</v>
      </c>
      <c r="Q987" s="197">
        <f t="shared" si="94"/>
        <v>0.27160394143835614</v>
      </c>
    </row>
    <row r="988" spans="1:17" ht="15.95" customHeight="1" x14ac:dyDescent="0.25">
      <c r="A988" s="121"/>
      <c r="B988" s="23"/>
      <c r="E988" s="44"/>
      <c r="F988" s="480"/>
      <c r="G988" s="484"/>
      <c r="H988" s="96"/>
      <c r="I988" s="35"/>
      <c r="J988" s="24"/>
      <c r="K988" s="24"/>
      <c r="L988" s="24"/>
      <c r="M988" s="25"/>
      <c r="N988" s="25"/>
      <c r="O988" s="195"/>
    </row>
    <row r="989" spans="1:17" ht="15.95" customHeight="1" x14ac:dyDescent="0.25">
      <c r="A989" s="121"/>
      <c r="B989" s="23"/>
      <c r="E989" s="24"/>
      <c r="F989" s="480"/>
      <c r="G989" s="484"/>
      <c r="H989" s="23"/>
      <c r="I989" s="24"/>
      <c r="J989" s="24"/>
      <c r="K989" s="24"/>
      <c r="L989" s="24"/>
      <c r="M989" s="25"/>
      <c r="N989" s="25"/>
      <c r="O989" s="195"/>
    </row>
    <row r="990" spans="1:17" ht="15.95" customHeight="1" x14ac:dyDescent="0.25">
      <c r="A990" s="121"/>
      <c r="B990" s="23"/>
      <c r="E990" s="24"/>
      <c r="F990" s="480"/>
      <c r="G990" s="484"/>
      <c r="H990" s="23"/>
      <c r="I990" s="24"/>
      <c r="J990" s="24"/>
      <c r="K990" s="24"/>
      <c r="L990" s="24"/>
      <c r="M990" s="25"/>
      <c r="N990" s="25"/>
      <c r="O990" s="195"/>
    </row>
    <row r="991" spans="1:17" ht="15.95" customHeight="1" x14ac:dyDescent="0.25">
      <c r="A991" s="121"/>
      <c r="B991" s="23"/>
      <c r="C991" s="24"/>
      <c r="D991" s="24"/>
      <c r="E991" s="24"/>
      <c r="F991" s="480"/>
      <c r="G991" s="485"/>
      <c r="H991" s="23"/>
      <c r="I991" s="24"/>
      <c r="J991" s="24"/>
      <c r="K991" s="24"/>
      <c r="L991" s="24"/>
      <c r="M991" s="25"/>
      <c r="N991" s="25"/>
      <c r="O991" s="195"/>
    </row>
    <row r="992" spans="1:17" ht="15.95" customHeight="1" x14ac:dyDescent="0.25">
      <c r="A992" s="121"/>
      <c r="B992" s="23"/>
      <c r="C992" s="24"/>
      <c r="D992" s="24"/>
      <c r="E992" s="24"/>
      <c r="F992" s="480"/>
      <c r="G992" s="485"/>
      <c r="H992" s="23"/>
      <c r="I992" s="24"/>
      <c r="J992" s="24"/>
      <c r="K992" s="24"/>
      <c r="L992" s="24"/>
      <c r="M992" s="25"/>
      <c r="N992" s="25"/>
      <c r="O992" s="195"/>
    </row>
    <row r="993" spans="1:15" ht="15.95" customHeight="1" x14ac:dyDescent="0.25">
      <c r="A993" s="121"/>
      <c r="B993" s="23"/>
      <c r="C993" s="24"/>
      <c r="D993" s="24"/>
      <c r="E993" s="24"/>
      <c r="F993" s="480"/>
      <c r="G993" s="485"/>
      <c r="H993" s="23"/>
      <c r="I993" s="24"/>
      <c r="J993" s="24"/>
      <c r="K993" s="24"/>
      <c r="L993" s="24"/>
      <c r="M993" s="25"/>
      <c r="N993" s="25"/>
      <c r="O993" s="195"/>
    </row>
    <row r="994" spans="1:15" ht="15.95" customHeight="1" x14ac:dyDescent="0.25">
      <c r="A994" s="121"/>
      <c r="B994" s="23"/>
      <c r="C994" s="24"/>
      <c r="D994" s="24"/>
      <c r="E994" s="24"/>
      <c r="F994" s="480"/>
      <c r="G994" s="485"/>
      <c r="H994" s="23"/>
      <c r="I994" s="24"/>
      <c r="J994" s="24"/>
      <c r="K994" s="24"/>
      <c r="L994" s="24"/>
      <c r="M994" s="25"/>
      <c r="N994" s="25"/>
      <c r="O994" s="195"/>
    </row>
    <row r="995" spans="1:15" ht="15.95" customHeight="1" x14ac:dyDescent="0.25">
      <c r="A995" s="121"/>
      <c r="B995" s="23"/>
      <c r="C995" s="24"/>
      <c r="D995" s="24"/>
      <c r="E995" s="24"/>
      <c r="F995" s="480"/>
      <c r="G995" s="485"/>
      <c r="H995" s="23"/>
      <c r="I995" s="24"/>
      <c r="J995" s="24"/>
      <c r="K995" s="24"/>
      <c r="L995" s="24"/>
      <c r="M995" s="25"/>
      <c r="N995" s="25"/>
      <c r="O995" s="195"/>
    </row>
    <row r="996" spans="1:15" ht="15.95" customHeight="1" x14ac:dyDescent="0.25">
      <c r="A996" s="121"/>
      <c r="B996" s="23"/>
      <c r="C996" s="24"/>
      <c r="D996" s="24"/>
      <c r="E996" s="24"/>
      <c r="F996" s="480"/>
      <c r="G996" s="485"/>
      <c r="H996" s="23"/>
      <c r="I996" s="24"/>
      <c r="J996" s="24"/>
      <c r="K996" s="24"/>
      <c r="L996" s="24"/>
      <c r="M996" s="25"/>
      <c r="N996" s="25"/>
      <c r="O996" s="195"/>
    </row>
    <row r="997" spans="1:15" ht="15.95" customHeight="1" x14ac:dyDescent="0.25">
      <c r="A997" s="121"/>
      <c r="B997" s="23"/>
      <c r="C997" s="24"/>
      <c r="D997" s="24"/>
      <c r="E997" s="24"/>
      <c r="F997" s="480"/>
      <c r="G997" s="485"/>
      <c r="H997" s="23"/>
      <c r="I997" s="24"/>
      <c r="J997" s="24"/>
      <c r="K997" s="24"/>
      <c r="L997" s="24"/>
      <c r="M997" s="25"/>
      <c r="N997" s="25"/>
      <c r="O997" s="195"/>
    </row>
    <row r="998" spans="1:15" ht="15.95" customHeight="1" x14ac:dyDescent="0.25">
      <c r="A998" s="121"/>
      <c r="B998" s="23"/>
      <c r="C998" s="24"/>
      <c r="D998" s="24"/>
      <c r="E998" s="24"/>
      <c r="F998" s="480"/>
      <c r="G998" s="485"/>
      <c r="H998" s="26"/>
      <c r="I998" s="27"/>
      <c r="J998" s="27"/>
      <c r="K998" s="27"/>
      <c r="L998" s="27"/>
      <c r="M998" s="28"/>
      <c r="N998" s="25"/>
      <c r="O998" s="195"/>
    </row>
    <row r="999" spans="1:15" ht="15.95" customHeight="1" x14ac:dyDescent="0.25">
      <c r="A999" s="121"/>
      <c r="B999" s="26"/>
      <c r="C999" s="27"/>
      <c r="D999" s="27"/>
      <c r="E999" s="27"/>
      <c r="F999" s="481"/>
      <c r="G999" s="486"/>
      <c r="H999" s="27"/>
      <c r="I999" s="27"/>
      <c r="J999" s="27"/>
      <c r="K999" s="27"/>
      <c r="L999" s="27"/>
      <c r="M999" s="27"/>
      <c r="N999" s="28"/>
      <c r="O999" s="195"/>
    </row>
    <row r="1000" spans="1:15" ht="15.95" customHeight="1" x14ac:dyDescent="0.25">
      <c r="A1000" s="121"/>
      <c r="B1000" s="23"/>
      <c r="C1000" s="24"/>
      <c r="D1000" s="24"/>
      <c r="E1000" s="24"/>
      <c r="F1000" s="480"/>
      <c r="G1000" s="480"/>
      <c r="H1000" s="24"/>
      <c r="I1000" s="24"/>
      <c r="J1000" s="24"/>
      <c r="K1000" s="24"/>
      <c r="L1000" s="24"/>
      <c r="M1000" s="24"/>
      <c r="N1000" s="25"/>
      <c r="O1000" s="195"/>
    </row>
    <row r="1001" spans="1:15" ht="15.95" customHeight="1" x14ac:dyDescent="0.25">
      <c r="A1001" s="122" t="s">
        <v>121</v>
      </c>
      <c r="B1001" s="635" t="s">
        <v>377</v>
      </c>
      <c r="C1001" s="636"/>
      <c r="D1001" s="636"/>
      <c r="E1001" s="636"/>
      <c r="F1001" s="636"/>
      <c r="G1001" s="636"/>
      <c r="H1001" s="636"/>
      <c r="I1001" s="636"/>
      <c r="J1001" s="636"/>
      <c r="K1001" s="636"/>
      <c r="L1001" s="636"/>
      <c r="M1001" s="636"/>
      <c r="N1001" s="637"/>
      <c r="O1001" s="195"/>
    </row>
    <row r="1002" spans="1:15" ht="15.95" customHeight="1" x14ac:dyDescent="0.25">
      <c r="A1002" s="121"/>
      <c r="B1002" s="23"/>
      <c r="C1002" s="24"/>
      <c r="D1002" s="24"/>
      <c r="E1002" s="24"/>
      <c r="F1002" s="483"/>
      <c r="G1002" s="484"/>
      <c r="H1002" s="31"/>
      <c r="I1002" s="31"/>
      <c r="J1002" s="24"/>
      <c r="K1002" s="24"/>
      <c r="L1002" s="24"/>
      <c r="M1002" s="24"/>
      <c r="N1002" s="25"/>
      <c r="O1002" s="195"/>
    </row>
    <row r="1003" spans="1:15" ht="15.95" customHeight="1" x14ac:dyDescent="0.25">
      <c r="A1003" s="121"/>
      <c r="B1003" s="23"/>
      <c r="C1003" s="638" t="s">
        <v>37</v>
      </c>
      <c r="D1003" s="639"/>
      <c r="E1003" s="640"/>
      <c r="F1003" s="483"/>
      <c r="G1003" s="484"/>
      <c r="H1003" s="641" t="s">
        <v>28</v>
      </c>
      <c r="I1003" s="642"/>
      <c r="J1003" s="39">
        <f>D1022-SUMIF(H1010:H1022,"&lt;"&amp;$M$4,K1010:K1022)</f>
        <v>0.18927496671676636</v>
      </c>
      <c r="K1003" s="24"/>
      <c r="L1003" s="24"/>
      <c r="M1003" s="24"/>
      <c r="N1003" s="25"/>
      <c r="O1003" s="195"/>
    </row>
    <row r="1004" spans="1:15" ht="15.95" customHeight="1" x14ac:dyDescent="0.25">
      <c r="A1004" s="121"/>
      <c r="B1004" s="23"/>
      <c r="C1004" s="58"/>
      <c r="D1004" s="643"/>
      <c r="E1004" s="644"/>
      <c r="F1004" s="483"/>
      <c r="G1004" s="484"/>
      <c r="H1004" s="645" t="s">
        <v>29</v>
      </c>
      <c r="I1004" s="646"/>
      <c r="J1004" s="40">
        <f>D1021</f>
        <v>45850</v>
      </c>
      <c r="K1004" s="24"/>
      <c r="L1004" s="24"/>
      <c r="M1004" s="24"/>
      <c r="N1004" s="25"/>
      <c r="O1004" s="195"/>
    </row>
    <row r="1005" spans="1:15" ht="15.95" customHeight="1" x14ac:dyDescent="0.25">
      <c r="A1005" s="121"/>
      <c r="B1005" s="23"/>
      <c r="C1005" s="59" t="s">
        <v>25</v>
      </c>
      <c r="D1005" s="647"/>
      <c r="E1005" s="648"/>
      <c r="F1005" s="483"/>
      <c r="G1005" s="484"/>
      <c r="H1005" s="649" t="s">
        <v>30</v>
      </c>
      <c r="I1005" s="650"/>
      <c r="J1005" s="42" t="s">
        <v>523</v>
      </c>
      <c r="L1005" s="24"/>
      <c r="M1005" s="24"/>
      <c r="N1005" s="25"/>
      <c r="O1005" s="195"/>
    </row>
    <row r="1006" spans="1:15" ht="15.95" customHeight="1" x14ac:dyDescent="0.25">
      <c r="A1006" s="121"/>
      <c r="B1006" s="23"/>
      <c r="C1006" s="59" t="s">
        <v>6</v>
      </c>
      <c r="D1006" s="647" t="s">
        <v>411</v>
      </c>
      <c r="E1006" s="648"/>
      <c r="F1006" s="483"/>
      <c r="G1006" s="484"/>
      <c r="H1006" s="24"/>
      <c r="I1006" s="24"/>
      <c r="J1006" s="24"/>
      <c r="K1006" s="24"/>
      <c r="L1006" s="24"/>
      <c r="M1006" s="24"/>
      <c r="N1006" s="25"/>
      <c r="O1006" s="195"/>
    </row>
    <row r="1007" spans="1:15" ht="15.95" customHeight="1" x14ac:dyDescent="0.25">
      <c r="A1007" s="121"/>
      <c r="B1007" s="23"/>
      <c r="C1007" s="59" t="s">
        <v>8</v>
      </c>
      <c r="D1007" s="647" t="s">
        <v>17</v>
      </c>
      <c r="E1007" s="648"/>
      <c r="F1007" s="483"/>
      <c r="G1007" s="484"/>
      <c r="H1007" s="651" t="s">
        <v>41</v>
      </c>
      <c r="I1007" s="652"/>
      <c r="J1007" s="652"/>
      <c r="K1007" s="652"/>
      <c r="L1007" s="653"/>
      <c r="M1007" s="24"/>
      <c r="N1007" s="25"/>
      <c r="O1007" s="195"/>
    </row>
    <row r="1008" spans="1:15" ht="15.95" customHeight="1" x14ac:dyDescent="0.25">
      <c r="A1008" s="121"/>
      <c r="B1008" s="23"/>
      <c r="C1008" s="59" t="s">
        <v>33</v>
      </c>
      <c r="D1008" s="73" t="s">
        <v>380</v>
      </c>
      <c r="E1008" s="273">
        <v>0.66669999999999996</v>
      </c>
      <c r="F1008" s="483">
        <f>+E1008*$J$1003</f>
        <v>0.12618962031006811</v>
      </c>
      <c r="G1008" s="484"/>
      <c r="H1008" s="81" t="s">
        <v>0</v>
      </c>
      <c r="I1008" s="82" t="s">
        <v>2</v>
      </c>
      <c r="J1008" s="82" t="s">
        <v>3</v>
      </c>
      <c r="K1008" s="82" t="s">
        <v>4</v>
      </c>
      <c r="L1008" s="83" t="s">
        <v>5</v>
      </c>
      <c r="M1008" s="83" t="s">
        <v>44</v>
      </c>
      <c r="N1008" s="25"/>
      <c r="O1008" s="195"/>
    </row>
    <row r="1009" spans="1:17" ht="15.95" customHeight="1" x14ac:dyDescent="0.25">
      <c r="A1009" s="121"/>
      <c r="B1009" s="23"/>
      <c r="C1009" s="278" t="s">
        <v>33</v>
      </c>
      <c r="D1009" s="73" t="s">
        <v>381</v>
      </c>
      <c r="E1009" s="273">
        <v>0.33329999999999999</v>
      </c>
      <c r="F1009" s="483">
        <f>+E1009*$J$1003</f>
        <v>6.3085346406698217E-2</v>
      </c>
      <c r="G1009" s="484"/>
      <c r="H1009" s="45"/>
      <c r="I1009" s="46"/>
      <c r="J1009" s="46"/>
      <c r="K1009" s="46"/>
      <c r="L1009" s="47"/>
      <c r="M1009" s="101"/>
      <c r="N1009" s="25"/>
      <c r="O1009" s="195"/>
    </row>
    <row r="1010" spans="1:17" ht="15.95" customHeight="1" x14ac:dyDescent="0.25">
      <c r="A1010" s="121"/>
      <c r="B1010" s="23"/>
      <c r="C1010" s="59" t="s">
        <v>34</v>
      </c>
      <c r="D1010" s="654" t="s">
        <v>35</v>
      </c>
      <c r="E1010" s="655"/>
      <c r="F1010" s="483"/>
      <c r="G1010" s="484"/>
      <c r="H1010" s="48">
        <f>+$D$1020</f>
        <v>44754</v>
      </c>
      <c r="I1010" s="46"/>
      <c r="J1010" s="49"/>
      <c r="K1010" s="49"/>
      <c r="L1010" s="50">
        <f>+D1022</f>
        <v>189274950</v>
      </c>
      <c r="M1010" s="102">
        <f>-L1010</f>
        <v>-189274950</v>
      </c>
      <c r="N1010" s="25"/>
      <c r="O1010" s="195"/>
    </row>
    <row r="1011" spans="1:17" ht="15.95" customHeight="1" x14ac:dyDescent="0.25">
      <c r="A1011" s="121"/>
      <c r="B1011" s="23"/>
      <c r="C1011" s="79" t="s">
        <v>38</v>
      </c>
      <c r="D1011" s="75"/>
      <c r="E1011" s="76"/>
      <c r="F1011" s="483"/>
      <c r="G1011" s="484"/>
      <c r="H1011" s="51">
        <v>44846</v>
      </c>
      <c r="I1011" s="415" t="s">
        <v>7</v>
      </c>
      <c r="J1011" s="52">
        <f t="shared" ref="J1011:J1022" si="95">L1010*($P$4+D1025)*(H1011-H1010)/365</f>
        <v>16787132.380479455</v>
      </c>
      <c r="K1011" s="52">
        <f>+IF(OR(I1011="A + C",I1011="A"),$D$2275*$D$2281,0)</f>
        <v>0</v>
      </c>
      <c r="L1011" s="53">
        <f>+L1010-K1011</f>
        <v>189274950</v>
      </c>
      <c r="M1011" s="103">
        <f>+J1011+K1011</f>
        <v>16787132.380479455</v>
      </c>
      <c r="N1011" s="25"/>
      <c r="O1011" s="195"/>
    </row>
    <row r="1012" spans="1:17" ht="20.100000000000001" customHeight="1" x14ac:dyDescent="0.25">
      <c r="A1012" s="121"/>
      <c r="B1012" s="23"/>
      <c r="C1012" s="59"/>
      <c r="D1012" s="399"/>
      <c r="E1012" s="271"/>
      <c r="F1012" s="483"/>
      <c r="G1012" s="484"/>
      <c r="H1012" s="51">
        <v>44938</v>
      </c>
      <c r="I1012" s="415" t="s">
        <v>7</v>
      </c>
      <c r="J1012" s="52">
        <f t="shared" si="95"/>
        <v>15355902.621575344</v>
      </c>
      <c r="K1012" s="52">
        <f>+IF(OR(I1012="A + C",I1012="A"),$D$2275*$D$2281,0)</f>
        <v>0</v>
      </c>
      <c r="L1012" s="53">
        <f>+L1011-K1012</f>
        <v>189274950</v>
      </c>
      <c r="M1012" s="103">
        <f>+J1012+K1012</f>
        <v>15355902.621575344</v>
      </c>
      <c r="N1012" s="25"/>
      <c r="O1012" s="195"/>
    </row>
    <row r="1013" spans="1:17" ht="15.95" customHeight="1" x14ac:dyDescent="0.25">
      <c r="A1013" s="121"/>
      <c r="B1013" s="23"/>
      <c r="C1013" s="59"/>
      <c r="D1013" s="399"/>
      <c r="E1013" s="271"/>
      <c r="F1013" s="483"/>
      <c r="G1013" s="484"/>
      <c r="H1013" s="51">
        <v>45028</v>
      </c>
      <c r="I1013" s="415" t="s">
        <v>7</v>
      </c>
      <c r="J1013" s="52">
        <f t="shared" si="95"/>
        <v>15022078.651541099</v>
      </c>
      <c r="K1013" s="52">
        <f>+IF(OR(I1013="A + C",I1013="A"),$D$2275*$D$2281,0)</f>
        <v>0</v>
      </c>
      <c r="L1013" s="53">
        <f>+L1012-K1013</f>
        <v>189274950</v>
      </c>
      <c r="M1013" s="103">
        <f>+J1013+K1013</f>
        <v>15022078.651541099</v>
      </c>
      <c r="N1013" s="25"/>
      <c r="O1013" s="195"/>
    </row>
    <row r="1014" spans="1:17" ht="20.100000000000001" customHeight="1" x14ac:dyDescent="0.25">
      <c r="A1014" s="121"/>
      <c r="B1014" s="32"/>
      <c r="C1014" s="60"/>
      <c r="D1014" s="400" t="str">
        <f>+B1001</f>
        <v>Del Fabro II</v>
      </c>
      <c r="E1014" s="401"/>
      <c r="F1014" s="483"/>
      <c r="G1014" s="484">
        <f>+J1003</f>
        <v>0.18927496671676636</v>
      </c>
      <c r="H1014" s="51">
        <v>45119</v>
      </c>
      <c r="I1014" s="415" t="s">
        <v>13</v>
      </c>
      <c r="J1014" s="52">
        <f t="shared" si="95"/>
        <v>30918689.661924411</v>
      </c>
      <c r="K1014" s="52">
        <f>L1010*D1028</f>
        <v>63091649.936908349</v>
      </c>
      <c r="L1014" s="53">
        <f>+L1013-K1014</f>
        <v>126183300.06309165</v>
      </c>
      <c r="M1014" s="103">
        <f>+J1014+K1014</f>
        <v>94010339.598832756</v>
      </c>
      <c r="N1014" s="25"/>
      <c r="O1014" s="194" t="str">
        <f>+D1173</f>
        <v>ON Pyme CNV Garantizada</v>
      </c>
    </row>
    <row r="1015" spans="1:17" ht="15.95" customHeight="1" x14ac:dyDescent="0.25">
      <c r="A1015" s="121"/>
      <c r="B1015" s="32"/>
      <c r="C1015" s="150"/>
      <c r="D1015" s="272"/>
      <c r="E1015" s="272"/>
      <c r="F1015" s="483"/>
      <c r="G1015" s="484"/>
      <c r="H1015" s="51">
        <v>45211</v>
      </c>
      <c r="I1015" s="415" t="s">
        <v>7</v>
      </c>
      <c r="J1015" s="52">
        <f t="shared" si="95"/>
        <v>10237268.419502197</v>
      </c>
      <c r="K1015" s="52">
        <f>+IF(OR(I1015="A + C",I1015="A"),$D$2275*$D$2281,0)</f>
        <v>0</v>
      </c>
      <c r="L1015" s="53">
        <f t="shared" ref="L1015:L1018" si="96">+L1014-K1015</f>
        <v>126183300.06309165</v>
      </c>
      <c r="M1015" s="103">
        <f t="shared" ref="M1015:M1018" si="97">+J1015+K1015</f>
        <v>10237268.419502197</v>
      </c>
      <c r="N1015" s="25"/>
      <c r="O1015" s="195"/>
    </row>
    <row r="1016" spans="1:17" ht="15.95" customHeight="1" x14ac:dyDescent="0.25">
      <c r="A1016" s="121"/>
      <c r="B1016" s="32"/>
      <c r="C1016" s="638" t="s">
        <v>36</v>
      </c>
      <c r="D1016" s="640"/>
      <c r="E1016" s="272"/>
      <c r="F1016" s="483"/>
      <c r="G1016" s="484"/>
      <c r="H1016" s="51">
        <v>45303</v>
      </c>
      <c r="I1016" s="415" t="s">
        <v>7</v>
      </c>
      <c r="J1016" s="52">
        <f t="shared" si="95"/>
        <v>10237268.419502197</v>
      </c>
      <c r="K1016" s="52">
        <f>+IF(OR(I1016="A + C",I1016="A"),$D$2275*$D$2281,0)</f>
        <v>0</v>
      </c>
      <c r="L1016" s="53">
        <f t="shared" si="96"/>
        <v>126183300.06309165</v>
      </c>
      <c r="M1016" s="103">
        <f t="shared" si="97"/>
        <v>10237268.419502197</v>
      </c>
      <c r="N1016" s="25"/>
      <c r="O1016" s="194" t="str">
        <f>+IF(J1171="vencida",IF(D1173='Reporte - Oscuro'!$C$40,'Reporte - Oscuro'!$C$40&amp;" vencida",IF(D1173='Reporte - Oscuro'!$C$41,'Reporte - Oscuro'!$C$41&amp;" vencida",IF(D1173='Reporte - Oscuro'!$C$42,'Reporte - Oscuro'!$C$42&amp;" vencida",'Reporte - Oscuro'!$C$43&amp;" vencida"))),D1173&amp;" vigente")</f>
        <v>ON Pyme CNV Garantizada vencida</v>
      </c>
    </row>
    <row r="1017" spans="1:17" ht="15.95" customHeight="1" x14ac:dyDescent="0.25">
      <c r="A1017" s="121"/>
      <c r="B1017" s="32"/>
      <c r="C1017" s="59"/>
      <c r="D1017" s="62"/>
      <c r="E1017" s="272"/>
      <c r="F1017" s="483"/>
      <c r="G1017" s="484"/>
      <c r="H1017" s="51">
        <v>45394</v>
      </c>
      <c r="I1017" s="415" t="s">
        <v>7</v>
      </c>
      <c r="J1017" s="52">
        <f t="shared" si="95"/>
        <v>10125993.762768477</v>
      </c>
      <c r="K1017" s="52">
        <f>+IF(OR(I1017="A + C",I1017="A"),$D$2275*$D$2281,0)</f>
        <v>0</v>
      </c>
      <c r="L1017" s="53">
        <f t="shared" si="96"/>
        <v>126183300.06309165</v>
      </c>
      <c r="M1017" s="103">
        <f t="shared" si="97"/>
        <v>10125993.762768477</v>
      </c>
      <c r="N1017" s="25"/>
      <c r="O1017" s="195"/>
    </row>
    <row r="1018" spans="1:17" ht="15.95" customHeight="1" x14ac:dyDescent="0.25">
      <c r="A1018" s="121"/>
      <c r="B1018" s="32"/>
      <c r="C1018" s="59" t="s">
        <v>9</v>
      </c>
      <c r="D1018" s="98" t="s">
        <v>18</v>
      </c>
      <c r="E1018" s="272"/>
      <c r="F1018" s="483"/>
      <c r="G1018" s="484"/>
      <c r="H1018" s="51">
        <v>45485</v>
      </c>
      <c r="I1018" s="415" t="s">
        <v>13</v>
      </c>
      <c r="J1018" s="52">
        <f t="shared" si="95"/>
        <v>10125993.762768477</v>
      </c>
      <c r="K1018" s="52">
        <f>L1010*D1028</f>
        <v>63091649.936908349</v>
      </c>
      <c r="L1018" s="53">
        <f t="shared" si="96"/>
        <v>63091650.126183301</v>
      </c>
      <c r="M1018" s="103">
        <f t="shared" si="97"/>
        <v>73217643.699676827</v>
      </c>
      <c r="N1018" s="25"/>
      <c r="O1018" s="195"/>
    </row>
    <row r="1019" spans="1:17" ht="15.95" customHeight="1" x14ac:dyDescent="0.25">
      <c r="A1019" s="121"/>
      <c r="B1019" s="23"/>
      <c r="C1019" s="59" t="s">
        <v>10</v>
      </c>
      <c r="D1019" s="65">
        <v>44743</v>
      </c>
      <c r="E1019" s="272"/>
      <c r="F1019" s="483"/>
      <c r="G1019" s="484"/>
      <c r="H1019" s="51">
        <v>45577</v>
      </c>
      <c r="I1019" s="415" t="s">
        <v>7</v>
      </c>
      <c r="J1019" s="52">
        <f t="shared" si="95"/>
        <v>5118634.2174290502</v>
      </c>
      <c r="K1019" s="52">
        <f>+IF(OR(I1019="A + C",I1019="A"),$D$2275*$D$2281,0)</f>
        <v>0</v>
      </c>
      <c r="L1019" s="53">
        <f t="shared" ref="L1019:L1022" si="98">+L1018-K1019</f>
        <v>63091650.126183301</v>
      </c>
      <c r="M1019" s="103">
        <f t="shared" ref="M1019:M1022" si="99">+J1019+K1019</f>
        <v>5118634.2174290502</v>
      </c>
      <c r="N1019" s="25"/>
      <c r="O1019" s="195"/>
    </row>
    <row r="1020" spans="1:17" ht="15.95" customHeight="1" x14ac:dyDescent="0.25">
      <c r="A1020" s="121"/>
      <c r="B1020" s="23"/>
      <c r="C1020" s="59" t="s">
        <v>11</v>
      </c>
      <c r="D1020" s="65">
        <v>44754</v>
      </c>
      <c r="E1020" s="36"/>
      <c r="F1020" s="483"/>
      <c r="G1020" s="484"/>
      <c r="H1020" s="51">
        <v>45669</v>
      </c>
      <c r="I1020" s="415" t="s">
        <v>7</v>
      </c>
      <c r="J1020" s="52">
        <f t="shared" si="95"/>
        <v>5118634.2174290502</v>
      </c>
      <c r="K1020" s="52">
        <f>+IF(OR(I1020="A + C",I1020="A"),$D$2275*$D$2281,0)</f>
        <v>0</v>
      </c>
      <c r="L1020" s="53">
        <f t="shared" si="98"/>
        <v>63091650.126183301</v>
      </c>
      <c r="M1020" s="103">
        <f t="shared" si="99"/>
        <v>5118634.2174290502</v>
      </c>
      <c r="N1020" s="25"/>
      <c r="O1020" s="195"/>
    </row>
    <row r="1021" spans="1:17" ht="15.95" customHeight="1" x14ac:dyDescent="0.25">
      <c r="A1021" s="121"/>
      <c r="B1021" s="23"/>
      <c r="C1021" s="59" t="s">
        <v>12</v>
      </c>
      <c r="D1021" s="65">
        <v>45850</v>
      </c>
      <c r="E1021" s="36"/>
      <c r="F1021" s="483"/>
      <c r="G1021" s="484"/>
      <c r="H1021" s="51">
        <v>45759</v>
      </c>
      <c r="I1021" s="415" t="s">
        <v>7</v>
      </c>
      <c r="J1021" s="52">
        <f t="shared" si="95"/>
        <v>5007359.560528419</v>
      </c>
      <c r="K1021" s="52">
        <f>+IF(OR(I1021="A + C",I1021="A"),$D$2275*$D$2281,0)</f>
        <v>0</v>
      </c>
      <c r="L1021" s="53">
        <f t="shared" si="98"/>
        <v>63091650.126183301</v>
      </c>
      <c r="M1021" s="103">
        <f t="shared" si="99"/>
        <v>5007359.560528419</v>
      </c>
      <c r="N1021" s="25"/>
      <c r="O1021" s="197">
        <f>+M1176</f>
        <v>-15000000</v>
      </c>
      <c r="P1021" s="197">
        <f>-M1176</f>
        <v>15000000</v>
      </c>
      <c r="Q1021" s="197"/>
    </row>
    <row r="1022" spans="1:17" ht="15.95" customHeight="1" x14ac:dyDescent="0.25">
      <c r="A1022" s="121"/>
      <c r="B1022" s="23"/>
      <c r="C1022" s="59" t="s">
        <v>27</v>
      </c>
      <c r="D1022" s="66">
        <v>189274950</v>
      </c>
      <c r="E1022" s="36"/>
      <c r="F1022" s="483"/>
      <c r="G1022" s="484"/>
      <c r="H1022" s="51">
        <v>45850</v>
      </c>
      <c r="I1022" s="415" t="s">
        <v>13</v>
      </c>
      <c r="J1022" s="52">
        <f t="shared" si="95"/>
        <v>5062996.8889787337</v>
      </c>
      <c r="K1022" s="52">
        <f>L1010*D1028</f>
        <v>63091649.936908349</v>
      </c>
      <c r="L1022" s="53">
        <f t="shared" si="98"/>
        <v>0.18927495181560516</v>
      </c>
      <c r="M1022" s="103">
        <f t="shared" si="99"/>
        <v>68154646.825887084</v>
      </c>
      <c r="N1022" s="25"/>
      <c r="O1022" s="197">
        <f>+M1177+O1021</f>
        <v>-7421458.333333334</v>
      </c>
      <c r="P1022" s="197">
        <f>+(M1177/(1+$J$1184)^((H1177-$H$1176)/365))/$P$1021</f>
        <v>0.50523611111111111</v>
      </c>
      <c r="Q1022" s="197">
        <f>+P1022*((H1177-$H$1176)/365)</f>
        <v>0.25469436834094372</v>
      </c>
    </row>
    <row r="1023" spans="1:17" ht="15.95" customHeight="1" x14ac:dyDescent="0.25">
      <c r="A1023" s="121"/>
      <c r="B1023" s="23"/>
      <c r="C1023" s="59" t="s">
        <v>26</v>
      </c>
      <c r="D1023" s="66">
        <v>3</v>
      </c>
      <c r="E1023" s="36"/>
      <c r="F1023" s="483"/>
      <c r="G1023" s="484"/>
      <c r="N1023" s="25"/>
      <c r="O1023" s="197">
        <f>+M1178+O1022</f>
        <v>-1492434.895833334</v>
      </c>
      <c r="P1023" s="197">
        <f>+(M1178/(1+$J$1184)^((H1178-$H$1176)/365))/$P$1021</f>
        <v>0.39526822916666665</v>
      </c>
      <c r="Q1023" s="197">
        <f>+P1023*((H1178-$H$1176)/365)</f>
        <v>0.39635115582191782</v>
      </c>
    </row>
    <row r="1024" spans="1:17" ht="15.95" customHeight="1" x14ac:dyDescent="0.25">
      <c r="A1024" s="121"/>
      <c r="B1024" s="23"/>
      <c r="C1024" s="59" t="s">
        <v>19</v>
      </c>
      <c r="D1024" s="67" t="s">
        <v>20</v>
      </c>
      <c r="E1024" s="36"/>
      <c r="F1024" s="483"/>
      <c r="G1024" s="484"/>
      <c r="N1024" s="25"/>
      <c r="O1024" s="197">
        <f>+M1179+O1023</f>
        <v>3579908.854166666</v>
      </c>
      <c r="P1024" s="197">
        <f>+(M1179/(1+$J$1184)^((H1179-$H$1176)/365))/$P$1021</f>
        <v>0.33815624999999999</v>
      </c>
      <c r="Q1024" s="197">
        <f>+P1024*((H1179-$H$1176)/365)</f>
        <v>0.51140342465753419</v>
      </c>
    </row>
    <row r="1025" spans="1:17" ht="15.95" customHeight="1" x14ac:dyDescent="0.25">
      <c r="A1025" s="121"/>
      <c r="B1025" s="23"/>
      <c r="C1025" s="59" t="s">
        <v>14</v>
      </c>
      <c r="D1025" s="68">
        <v>0.03</v>
      </c>
      <c r="E1025" s="36"/>
      <c r="F1025" s="480"/>
      <c r="G1025" s="484"/>
      <c r="H1025" s="656" t="s">
        <v>43</v>
      </c>
      <c r="I1025" s="656"/>
      <c r="J1025" s="92">
        <f>+J1003+(L1022*(P4+D1025)*(M4-H1022)/365)</f>
        <v>0.19128212386846849</v>
      </c>
      <c r="K1025" s="92"/>
      <c r="L1025" s="24"/>
      <c r="M1025" s="24"/>
      <c r="N1025" s="25"/>
      <c r="O1025" s="197">
        <f>+M1180+O1024</f>
        <v>7966197.916666666</v>
      </c>
      <c r="P1025" s="197">
        <f>+(M1180/(1+$J$1184)^((H1180-$H$1176)/365))/$P$1021</f>
        <v>0.29241927083333336</v>
      </c>
      <c r="Q1025" s="197">
        <f>+P1025*((H1180-$H$1176)/365)</f>
        <v>0.5856396903538813</v>
      </c>
    </row>
    <row r="1026" spans="1:17" ht="15.95" customHeight="1" x14ac:dyDescent="0.25">
      <c r="A1026" s="121"/>
      <c r="B1026" s="23"/>
      <c r="C1026" s="59" t="s">
        <v>31</v>
      </c>
      <c r="D1026" s="68"/>
      <c r="E1026" s="41"/>
      <c r="F1026" s="480"/>
      <c r="G1026" s="484"/>
      <c r="H1026" s="657"/>
      <c r="I1026" s="657"/>
      <c r="J1026" s="33"/>
      <c r="K1026" s="24"/>
      <c r="L1026" s="33"/>
      <c r="M1026" s="33"/>
      <c r="N1026" s="25"/>
      <c r="O1026" s="197"/>
      <c r="P1026" s="197"/>
      <c r="Q1026" s="197"/>
    </row>
    <row r="1027" spans="1:17" ht="15.95" customHeight="1" x14ac:dyDescent="0.25">
      <c r="A1027" s="121"/>
      <c r="B1027" s="23"/>
      <c r="C1027" s="59" t="s">
        <v>32</v>
      </c>
      <c r="D1027" s="68"/>
      <c r="E1027" s="36"/>
      <c r="F1027" s="480"/>
      <c r="G1027" s="484"/>
      <c r="H1027" s="24"/>
      <c r="I1027" s="24"/>
      <c r="J1027" s="24"/>
      <c r="K1027" s="24"/>
      <c r="L1027" s="24"/>
      <c r="M1027" s="24"/>
      <c r="N1027" s="25"/>
      <c r="O1027" s="197"/>
      <c r="P1027" s="197"/>
      <c r="Q1027" s="197"/>
    </row>
    <row r="1028" spans="1:17" ht="15.95" customHeight="1" x14ac:dyDescent="0.25">
      <c r="A1028" s="121"/>
      <c r="B1028" s="23"/>
      <c r="C1028" s="59" t="s">
        <v>54</v>
      </c>
      <c r="D1028" s="68">
        <v>0.33333333300000001</v>
      </c>
      <c r="E1028" s="43"/>
      <c r="F1028" s="480"/>
      <c r="G1028" s="484"/>
      <c r="H1028" s="638" t="s">
        <v>44</v>
      </c>
      <c r="I1028" s="639"/>
      <c r="J1028" s="639"/>
      <c r="K1028" s="639"/>
      <c r="L1028" s="639"/>
      <c r="M1028" s="640"/>
      <c r="N1028" s="25"/>
      <c r="O1028" s="197"/>
      <c r="P1028" s="29"/>
    </row>
    <row r="1029" spans="1:17" ht="15.95" customHeight="1" x14ac:dyDescent="0.25">
      <c r="A1029" s="121"/>
      <c r="B1029" s="23"/>
      <c r="C1029" s="60"/>
      <c r="D1029" s="110"/>
      <c r="E1029" s="43"/>
      <c r="F1029" s="480"/>
      <c r="G1029" s="484"/>
      <c r="H1029" s="23"/>
      <c r="I1029" s="24"/>
      <c r="J1029" s="24"/>
      <c r="K1029" s="24"/>
      <c r="L1029" s="24"/>
      <c r="M1029" s="25"/>
      <c r="N1029" s="25"/>
      <c r="O1029" s="197"/>
      <c r="P1029" s="29"/>
    </row>
    <row r="1030" spans="1:17" ht="15.95" customHeight="1" x14ac:dyDescent="0.25">
      <c r="A1030" s="121"/>
      <c r="B1030" s="23"/>
      <c r="E1030" s="43"/>
      <c r="F1030" s="480"/>
      <c r="G1030" s="484"/>
      <c r="H1030" s="23"/>
      <c r="I1030" s="24"/>
      <c r="J1030" s="24"/>
      <c r="K1030" s="24"/>
      <c r="L1030" s="24"/>
      <c r="M1030" s="25"/>
      <c r="N1030" s="25"/>
      <c r="O1030" s="197"/>
      <c r="P1030" s="29"/>
    </row>
    <row r="1031" spans="1:17" ht="15.95" customHeight="1" x14ac:dyDescent="0.25">
      <c r="A1031" s="121"/>
      <c r="B1031" s="23"/>
      <c r="E1031" s="44"/>
      <c r="F1031" s="480"/>
      <c r="G1031" s="484"/>
      <c r="H1031" s="96"/>
      <c r="I1031" s="35"/>
      <c r="J1031" s="24"/>
      <c r="K1031" s="24"/>
      <c r="L1031" s="24"/>
      <c r="M1031" s="25"/>
      <c r="N1031" s="25"/>
      <c r="O1031" s="197"/>
    </row>
    <row r="1032" spans="1:17" ht="15.95" customHeight="1" x14ac:dyDescent="0.25">
      <c r="A1032" s="121"/>
      <c r="B1032" s="23"/>
      <c r="E1032" s="24"/>
      <c r="F1032" s="480"/>
      <c r="G1032" s="484"/>
      <c r="H1032" s="23"/>
      <c r="I1032" s="24"/>
      <c r="J1032" s="24"/>
      <c r="K1032" s="24"/>
      <c r="L1032" s="24"/>
      <c r="M1032" s="25"/>
      <c r="N1032" s="25"/>
      <c r="O1032" s="197"/>
      <c r="P1032" s="37"/>
    </row>
    <row r="1033" spans="1:17" ht="15.95" customHeight="1" x14ac:dyDescent="0.25">
      <c r="A1033" s="121"/>
      <c r="B1033" s="23"/>
      <c r="E1033" s="24"/>
      <c r="F1033" s="480"/>
      <c r="G1033" s="484"/>
      <c r="H1033" s="23"/>
      <c r="I1033" s="24"/>
      <c r="J1033" s="24"/>
      <c r="K1033" s="24"/>
      <c r="L1033" s="24"/>
      <c r="M1033" s="25"/>
      <c r="N1033" s="25"/>
      <c r="O1033" s="197"/>
    </row>
    <row r="1034" spans="1:17" ht="15.95" customHeight="1" x14ac:dyDescent="0.25">
      <c r="A1034" s="121"/>
      <c r="B1034" s="23"/>
      <c r="C1034" s="24"/>
      <c r="D1034" s="24"/>
      <c r="E1034" s="24"/>
      <c r="F1034" s="480"/>
      <c r="G1034" s="485"/>
      <c r="H1034" s="23"/>
      <c r="I1034" s="24"/>
      <c r="J1034" s="24"/>
      <c r="K1034" s="24"/>
      <c r="L1034" s="24"/>
      <c r="M1034" s="25"/>
      <c r="N1034" s="25"/>
      <c r="O1034" s="195"/>
    </row>
    <row r="1035" spans="1:17" ht="15.95" customHeight="1" x14ac:dyDescent="0.25">
      <c r="A1035" s="121"/>
      <c r="B1035" s="23"/>
      <c r="C1035" s="24"/>
      <c r="D1035" s="24"/>
      <c r="E1035" s="24"/>
      <c r="F1035" s="480"/>
      <c r="G1035" s="485"/>
      <c r="H1035" s="23"/>
      <c r="I1035" s="24"/>
      <c r="J1035" s="24"/>
      <c r="K1035" s="24"/>
      <c r="L1035" s="24"/>
      <c r="M1035" s="25"/>
      <c r="N1035" s="25"/>
      <c r="O1035" s="195"/>
    </row>
    <row r="1036" spans="1:17" ht="15.95" customHeight="1" x14ac:dyDescent="0.25">
      <c r="A1036" s="121"/>
      <c r="B1036" s="23"/>
      <c r="C1036" s="24"/>
      <c r="D1036" s="24"/>
      <c r="E1036" s="24"/>
      <c r="F1036" s="480"/>
      <c r="G1036" s="485"/>
      <c r="H1036" s="23"/>
      <c r="I1036" s="24"/>
      <c r="J1036" s="24"/>
      <c r="K1036" s="24"/>
      <c r="L1036" s="24"/>
      <c r="M1036" s="25"/>
      <c r="N1036" s="25"/>
      <c r="O1036" s="195"/>
    </row>
    <row r="1037" spans="1:17" ht="15.95" customHeight="1" x14ac:dyDescent="0.25">
      <c r="A1037" s="121"/>
      <c r="B1037" s="23"/>
      <c r="C1037" s="24"/>
      <c r="D1037" s="24"/>
      <c r="E1037" s="24"/>
      <c r="F1037" s="480"/>
      <c r="G1037" s="485"/>
      <c r="H1037" s="23"/>
      <c r="I1037" s="24"/>
      <c r="J1037" s="24"/>
      <c r="K1037" s="24"/>
      <c r="L1037" s="24"/>
      <c r="M1037" s="25"/>
      <c r="N1037" s="25"/>
      <c r="O1037" s="195"/>
    </row>
    <row r="1038" spans="1:17" ht="15.95" customHeight="1" x14ac:dyDescent="0.25">
      <c r="A1038" s="121"/>
      <c r="B1038" s="23"/>
      <c r="C1038" s="24"/>
      <c r="D1038" s="24"/>
      <c r="E1038" s="24"/>
      <c r="F1038" s="480"/>
      <c r="G1038" s="480"/>
      <c r="H1038" s="23"/>
      <c r="I1038" s="24"/>
      <c r="J1038" s="24"/>
      <c r="K1038" s="24"/>
      <c r="L1038" s="24"/>
      <c r="M1038" s="25"/>
      <c r="N1038" s="25"/>
      <c r="O1038" s="195"/>
    </row>
    <row r="1039" spans="1:17" ht="15.95" customHeight="1" x14ac:dyDescent="0.25">
      <c r="A1039" s="121"/>
      <c r="B1039" s="23"/>
      <c r="C1039" s="24"/>
      <c r="D1039" s="24"/>
      <c r="E1039" s="24"/>
      <c r="F1039" s="480"/>
      <c r="G1039" s="480"/>
      <c r="H1039" s="23"/>
      <c r="I1039" s="24"/>
      <c r="J1039" s="24"/>
      <c r="K1039" s="24"/>
      <c r="L1039" s="24"/>
      <c r="M1039" s="25"/>
      <c r="N1039" s="25"/>
      <c r="O1039" s="195"/>
    </row>
    <row r="1040" spans="1:17" ht="15.95" customHeight="1" x14ac:dyDescent="0.25">
      <c r="A1040" s="121"/>
      <c r="B1040" s="23"/>
      <c r="C1040" s="24"/>
      <c r="D1040" s="24"/>
      <c r="E1040" s="24"/>
      <c r="F1040" s="480"/>
      <c r="G1040" s="480"/>
      <c r="H1040" s="23"/>
      <c r="I1040" s="24"/>
      <c r="J1040" s="24"/>
      <c r="K1040" s="24"/>
      <c r="L1040" s="24"/>
      <c r="M1040" s="25"/>
      <c r="N1040" s="25"/>
      <c r="O1040" s="195"/>
    </row>
    <row r="1041" spans="1:15" ht="15.95" customHeight="1" x14ac:dyDescent="0.25">
      <c r="A1041" s="121"/>
      <c r="B1041" s="23"/>
      <c r="C1041" s="24"/>
      <c r="D1041" s="24"/>
      <c r="E1041" s="24"/>
      <c r="F1041" s="480"/>
      <c r="G1041" s="480"/>
      <c r="H1041" s="26"/>
      <c r="I1041" s="27"/>
      <c r="J1041" s="27"/>
      <c r="K1041" s="27"/>
      <c r="L1041" s="27"/>
      <c r="M1041" s="28"/>
      <c r="N1041" s="25"/>
      <c r="O1041" s="195"/>
    </row>
    <row r="1042" spans="1:15" ht="15.95" customHeight="1" x14ac:dyDescent="0.25">
      <c r="A1042" s="121"/>
      <c r="B1042" s="23"/>
      <c r="C1042" s="24"/>
      <c r="D1042" s="24"/>
      <c r="E1042" s="24"/>
      <c r="F1042" s="480"/>
      <c r="G1042" s="480"/>
      <c r="H1042" s="24"/>
      <c r="I1042" s="24"/>
      <c r="J1042" s="24"/>
      <c r="K1042" s="24"/>
      <c r="L1042" s="24"/>
      <c r="M1042" s="24"/>
      <c r="N1042" s="25"/>
      <c r="O1042" s="195"/>
    </row>
    <row r="1043" spans="1:15" ht="15.95" customHeight="1" x14ac:dyDescent="0.25">
      <c r="A1043" s="121"/>
      <c r="B1043" s="635" t="s">
        <v>536</v>
      </c>
      <c r="C1043" s="636"/>
      <c r="D1043" s="636"/>
      <c r="E1043" s="636"/>
      <c r="F1043" s="636"/>
      <c r="G1043" s="636"/>
      <c r="H1043" s="636"/>
      <c r="I1043" s="636"/>
      <c r="J1043" s="636"/>
      <c r="K1043" s="636"/>
      <c r="L1043" s="636"/>
      <c r="M1043" s="636"/>
      <c r="N1043" s="637"/>
      <c r="O1043" s="195"/>
    </row>
    <row r="1044" spans="1:15" ht="15.95" customHeight="1" x14ac:dyDescent="0.25">
      <c r="A1044" s="121"/>
      <c r="B1044" s="23"/>
      <c r="C1044" s="24"/>
      <c r="D1044" s="24"/>
      <c r="E1044" s="24"/>
      <c r="F1044" s="483"/>
      <c r="G1044" s="484"/>
      <c r="H1044" s="31"/>
      <c r="I1044" s="31"/>
      <c r="J1044" s="24"/>
      <c r="K1044" s="24"/>
      <c r="L1044" s="24"/>
      <c r="M1044" s="24"/>
      <c r="N1044" s="25"/>
      <c r="O1044" s="195"/>
    </row>
    <row r="1045" spans="1:15" ht="15.95" customHeight="1" x14ac:dyDescent="0.25">
      <c r="A1045" s="121"/>
      <c r="B1045" s="23"/>
      <c r="C1045" s="638" t="s">
        <v>37</v>
      </c>
      <c r="D1045" s="639"/>
      <c r="E1045" s="640"/>
      <c r="F1045" s="483"/>
      <c r="G1045" s="484"/>
      <c r="H1045" s="641" t="s">
        <v>28</v>
      </c>
      <c r="I1045" s="642"/>
      <c r="J1045" s="39">
        <f>D1064-SUMIF(H1052:H1057,"&lt;"&amp;$M$4,K1052:K1057)</f>
        <v>200000000</v>
      </c>
      <c r="K1045" s="24"/>
      <c r="L1045" s="24"/>
      <c r="M1045" s="24"/>
      <c r="N1045" s="25"/>
      <c r="O1045" s="195"/>
    </row>
    <row r="1046" spans="1:15" ht="15.95" customHeight="1" x14ac:dyDescent="0.25">
      <c r="A1046" s="121"/>
      <c r="B1046" s="23"/>
      <c r="C1046" s="58"/>
      <c r="D1046" s="643"/>
      <c r="E1046" s="644"/>
      <c r="F1046" s="483"/>
      <c r="G1046" s="484"/>
      <c r="H1046" s="645" t="s">
        <v>29</v>
      </c>
      <c r="I1046" s="646"/>
      <c r="J1046" s="40">
        <f>D1063</f>
        <v>46478</v>
      </c>
      <c r="K1046" s="24"/>
      <c r="L1046" s="24"/>
      <c r="M1046" s="24"/>
      <c r="N1046" s="25"/>
      <c r="O1046" s="195"/>
    </row>
    <row r="1047" spans="1:15" ht="15.95" customHeight="1" x14ac:dyDescent="0.25">
      <c r="A1047" s="121"/>
      <c r="B1047" s="23"/>
      <c r="C1047" s="59" t="s">
        <v>25</v>
      </c>
      <c r="D1047" s="647"/>
      <c r="E1047" s="648"/>
      <c r="F1047" s="483"/>
      <c r="G1047" s="484"/>
      <c r="H1047" s="649" t="s">
        <v>30</v>
      </c>
      <c r="I1047" s="650"/>
      <c r="J1047" s="42">
        <f>+COUPNCD($M$4,J1046,4,3)</f>
        <v>45931</v>
      </c>
      <c r="L1047" s="24"/>
      <c r="M1047" s="24"/>
      <c r="N1047" s="25"/>
      <c r="O1047" s="195"/>
    </row>
    <row r="1048" spans="1:15" ht="15.95" customHeight="1" x14ac:dyDescent="0.25">
      <c r="A1048" s="121"/>
      <c r="B1048" s="23"/>
      <c r="C1048" s="59" t="s">
        <v>6</v>
      </c>
      <c r="D1048" s="647" t="s">
        <v>535</v>
      </c>
      <c r="E1048" s="648"/>
      <c r="F1048" s="483"/>
      <c r="G1048" s="484"/>
      <c r="H1048" s="24"/>
      <c r="I1048" s="24"/>
      <c r="J1048" s="24"/>
      <c r="K1048" s="24"/>
      <c r="L1048" s="24"/>
      <c r="M1048" s="24"/>
      <c r="N1048" s="25"/>
      <c r="O1048" s="195"/>
    </row>
    <row r="1049" spans="1:15" ht="15.95" customHeight="1" x14ac:dyDescent="0.25">
      <c r="A1049" s="121"/>
      <c r="B1049" s="23"/>
      <c r="C1049" s="59" t="s">
        <v>8</v>
      </c>
      <c r="D1049" s="647" t="s">
        <v>17</v>
      </c>
      <c r="E1049" s="648"/>
      <c r="F1049" s="483"/>
      <c r="G1049" s="484"/>
      <c r="H1049" s="651" t="s">
        <v>41</v>
      </c>
      <c r="I1049" s="652"/>
      <c r="J1049" s="652"/>
      <c r="K1049" s="652"/>
      <c r="L1049" s="653"/>
      <c r="M1049" s="24"/>
      <c r="N1049" s="25"/>
      <c r="O1049" s="195"/>
    </row>
    <row r="1050" spans="1:15" ht="15.95" customHeight="1" x14ac:dyDescent="0.25">
      <c r="A1050" s="121"/>
      <c r="B1050" s="23"/>
      <c r="C1050" s="59" t="s">
        <v>33</v>
      </c>
      <c r="D1050" s="73" t="s">
        <v>293</v>
      </c>
      <c r="E1050" s="273">
        <v>1</v>
      </c>
      <c r="F1050" s="483">
        <f>+E1050*$J$1045</f>
        <v>200000000</v>
      </c>
      <c r="G1050" s="484"/>
      <c r="H1050" s="81" t="s">
        <v>0</v>
      </c>
      <c r="I1050" s="82" t="s">
        <v>2</v>
      </c>
      <c r="J1050" s="82" t="s">
        <v>3</v>
      </c>
      <c r="K1050" s="82" t="s">
        <v>4</v>
      </c>
      <c r="L1050" s="83" t="s">
        <v>5</v>
      </c>
      <c r="M1050" s="83" t="s">
        <v>44</v>
      </c>
      <c r="N1050" s="25"/>
      <c r="O1050" s="195"/>
    </row>
    <row r="1051" spans="1:15" ht="15.95" customHeight="1" x14ac:dyDescent="0.25">
      <c r="A1051" s="121"/>
      <c r="B1051" s="23"/>
      <c r="C1051" s="278" t="s">
        <v>33</v>
      </c>
      <c r="D1051" s="73"/>
      <c r="E1051" s="273"/>
      <c r="F1051" s="483"/>
      <c r="G1051" s="484"/>
      <c r="H1051" s="45"/>
      <c r="I1051" s="46"/>
      <c r="J1051" s="46"/>
      <c r="K1051" s="46"/>
      <c r="L1051" s="47"/>
      <c r="M1051" s="101"/>
      <c r="N1051" s="25"/>
      <c r="O1051" s="195"/>
    </row>
    <row r="1052" spans="1:15" ht="15.95" customHeight="1" x14ac:dyDescent="0.25">
      <c r="A1052" s="121"/>
      <c r="B1052" s="23"/>
      <c r="C1052" s="59" t="s">
        <v>34</v>
      </c>
      <c r="D1052" s="654" t="s">
        <v>48</v>
      </c>
      <c r="E1052" s="655"/>
      <c r="F1052" s="483"/>
      <c r="G1052" s="484"/>
      <c r="H1052" s="48">
        <f>+$D$1062</f>
        <v>45748</v>
      </c>
      <c r="I1052" s="46"/>
      <c r="J1052" s="49"/>
      <c r="K1052" s="49"/>
      <c r="L1052" s="50">
        <f>+D1064</f>
        <v>200000000</v>
      </c>
      <c r="M1052" s="102">
        <f>-L1052</f>
        <v>-200000000</v>
      </c>
      <c r="N1052" s="25"/>
      <c r="O1052" s="195"/>
    </row>
    <row r="1053" spans="1:15" ht="15.95" customHeight="1" x14ac:dyDescent="0.25">
      <c r="A1053" s="121"/>
      <c r="B1053" s="23"/>
      <c r="C1053" s="79" t="s">
        <v>38</v>
      </c>
      <c r="D1053" s="75"/>
      <c r="E1053" s="76"/>
      <c r="F1053" s="483"/>
      <c r="G1053" s="484"/>
      <c r="H1053" s="51">
        <v>45931</v>
      </c>
      <c r="I1053" s="415" t="s">
        <v>13</v>
      </c>
      <c r="J1053" s="52">
        <f>L1052*($P$4+D1067)*(H1053-H1052)/365</f>
        <v>39294863.01369863</v>
      </c>
      <c r="K1053" s="52">
        <f>+IF(OR(I1053="A + C",I1053="A"),$D$2275*$D$2281,0)</f>
        <v>50000000</v>
      </c>
      <c r="L1053" s="53">
        <f>+L1052-K1053</f>
        <v>150000000</v>
      </c>
      <c r="M1053" s="103">
        <f>+J1053+K1053</f>
        <v>89294863.013698637</v>
      </c>
      <c r="N1053" s="25"/>
      <c r="O1053" s="195"/>
    </row>
    <row r="1054" spans="1:15" ht="15.95" customHeight="1" x14ac:dyDescent="0.25">
      <c r="A1054" s="121"/>
      <c r="B1054" s="23"/>
      <c r="C1054" s="59"/>
      <c r="D1054" s="399"/>
      <c r="E1054" s="271"/>
      <c r="F1054" s="483"/>
      <c r="G1054" s="484"/>
      <c r="H1054" s="51">
        <v>46113</v>
      </c>
      <c r="I1054" s="415" t="s">
        <v>13</v>
      </c>
      <c r="J1054" s="52">
        <f>L1053*($P$4+D1068)*(H1054-H1053)/365</f>
        <v>24074486.301369864</v>
      </c>
      <c r="K1054" s="52">
        <f>+IF(OR(I1054="A + C",I1054="A"),$D$2275*$D$2281,0)</f>
        <v>50000000</v>
      </c>
      <c r="L1054" s="53">
        <f>+L1053-K1054</f>
        <v>100000000</v>
      </c>
      <c r="M1054" s="103">
        <f>+J1054+K1054</f>
        <v>74074486.301369861</v>
      </c>
      <c r="N1054" s="25"/>
      <c r="O1054" s="195"/>
    </row>
    <row r="1055" spans="1:15" ht="15.95" customHeight="1" x14ac:dyDescent="0.25">
      <c r="A1055" s="121"/>
      <c r="B1055" s="23"/>
      <c r="C1055" s="59"/>
      <c r="D1055" s="399"/>
      <c r="E1055" s="271"/>
      <c r="F1055" s="483"/>
      <c r="G1055" s="484"/>
      <c r="H1055" s="51">
        <v>46296</v>
      </c>
      <c r="I1055" s="415" t="s">
        <v>13</v>
      </c>
      <c r="J1055" s="52">
        <f t="shared" ref="J1055:J1056" si="100">L1054*($P$4+D1069)*(H1055-H1054)/365</f>
        <v>16137842.465753427</v>
      </c>
      <c r="K1055" s="52">
        <f>+IF(OR(I1055="A + C",I1055="A"),$D$2275*$D$2281,0)</f>
        <v>50000000</v>
      </c>
      <c r="L1055" s="53">
        <f>+L1054-K1055</f>
        <v>50000000</v>
      </c>
      <c r="M1055" s="103">
        <f>+J1055+K1055</f>
        <v>66137842.465753429</v>
      </c>
      <c r="N1055" s="25"/>
      <c r="O1055" s="195"/>
    </row>
    <row r="1056" spans="1:15" ht="15.95" customHeight="1" x14ac:dyDescent="0.25">
      <c r="A1056" s="121"/>
      <c r="B1056" s="32"/>
      <c r="C1056" s="60"/>
      <c r="D1056" s="400" t="str">
        <f>+B1043</f>
        <v>Deposito Fiscal Cordoba I</v>
      </c>
      <c r="E1056" s="401"/>
      <c r="F1056" s="483"/>
      <c r="G1056" s="484">
        <f>+J1045</f>
        <v>200000000</v>
      </c>
      <c r="H1056" s="51">
        <v>46478</v>
      </c>
      <c r="I1056" s="415" t="s">
        <v>13</v>
      </c>
      <c r="J1056" s="52">
        <f t="shared" si="100"/>
        <v>14257705.479452055</v>
      </c>
      <c r="K1056" s="52">
        <f>L1052*D1070</f>
        <v>50000000</v>
      </c>
      <c r="L1056" s="53">
        <f>+L1055-K1056</f>
        <v>0</v>
      </c>
      <c r="M1056" s="103">
        <f>+J1056+K1056</f>
        <v>64257705.479452059</v>
      </c>
      <c r="N1056" s="25"/>
      <c r="O1056" s="195"/>
    </row>
    <row r="1057" spans="1:15" ht="15.95" customHeight="1" x14ac:dyDescent="0.25">
      <c r="A1057" s="121"/>
      <c r="B1057" s="32"/>
      <c r="C1057" s="150"/>
      <c r="D1057" s="272"/>
      <c r="E1057" s="272"/>
      <c r="F1057" s="483"/>
      <c r="G1057" s="484"/>
      <c r="H1057" s="51"/>
      <c r="I1057" s="415"/>
      <c r="J1057" s="52"/>
      <c r="K1057" s="52"/>
      <c r="L1057" s="53"/>
      <c r="M1057" s="103"/>
      <c r="N1057" s="25"/>
      <c r="O1057" s="195"/>
    </row>
    <row r="1058" spans="1:15" ht="15.95" customHeight="1" x14ac:dyDescent="0.25">
      <c r="A1058" s="121"/>
      <c r="B1058" s="32"/>
      <c r="C1058" s="638" t="s">
        <v>36</v>
      </c>
      <c r="D1058" s="640"/>
      <c r="E1058" s="272"/>
      <c r="F1058" s="483"/>
      <c r="G1058" s="484"/>
      <c r="H1058" s="51"/>
      <c r="I1058" s="415"/>
      <c r="J1058" s="52"/>
      <c r="K1058" s="52"/>
      <c r="L1058" s="53"/>
      <c r="M1058" s="103"/>
      <c r="N1058" s="25"/>
      <c r="O1058" s="195"/>
    </row>
    <row r="1059" spans="1:15" ht="15.95" customHeight="1" x14ac:dyDescent="0.25">
      <c r="A1059" s="121"/>
      <c r="B1059" s="32"/>
      <c r="C1059" s="59"/>
      <c r="D1059" s="62"/>
      <c r="E1059" s="272"/>
      <c r="F1059" s="483"/>
      <c r="G1059" s="484"/>
      <c r="H1059" s="51"/>
      <c r="I1059" s="415"/>
      <c r="J1059" s="52"/>
      <c r="K1059" s="52"/>
      <c r="L1059" s="53"/>
      <c r="M1059" s="103"/>
      <c r="N1059" s="25"/>
      <c r="O1059" s="195"/>
    </row>
    <row r="1060" spans="1:15" ht="15.95" customHeight="1" x14ac:dyDescent="0.25">
      <c r="A1060" s="121"/>
      <c r="B1060" s="32"/>
      <c r="C1060" s="59" t="s">
        <v>9</v>
      </c>
      <c r="D1060" s="98" t="s">
        <v>18</v>
      </c>
      <c r="E1060" s="272"/>
      <c r="F1060" s="483"/>
      <c r="G1060" s="484"/>
      <c r="H1060" s="51"/>
      <c r="I1060" s="415"/>
      <c r="J1060" s="52"/>
      <c r="K1060" s="52"/>
      <c r="L1060" s="53"/>
      <c r="M1060" s="103"/>
      <c r="N1060" s="25"/>
      <c r="O1060" s="195"/>
    </row>
    <row r="1061" spans="1:15" ht="15.95" customHeight="1" x14ac:dyDescent="0.25">
      <c r="A1061" s="121"/>
      <c r="B1061" s="23"/>
      <c r="C1061" s="59" t="s">
        <v>10</v>
      </c>
      <c r="D1061" s="65">
        <v>45743</v>
      </c>
      <c r="E1061" s="272"/>
      <c r="F1061" s="483"/>
      <c r="G1061" s="484"/>
      <c r="H1061" s="51"/>
      <c r="I1061" s="415"/>
      <c r="J1061" s="52"/>
      <c r="K1061" s="52"/>
      <c r="L1061" s="53"/>
      <c r="M1061" s="103"/>
      <c r="N1061" s="25"/>
      <c r="O1061" s="195"/>
    </row>
    <row r="1062" spans="1:15" ht="15.95" customHeight="1" x14ac:dyDescent="0.25">
      <c r="A1062" s="121"/>
      <c r="B1062" s="23"/>
      <c r="C1062" s="59" t="s">
        <v>11</v>
      </c>
      <c r="D1062" s="65">
        <v>45748</v>
      </c>
      <c r="E1062" s="36"/>
      <c r="F1062" s="483"/>
      <c r="G1062" s="484"/>
      <c r="H1062" s="51"/>
      <c r="I1062" s="415"/>
      <c r="J1062" s="52"/>
      <c r="K1062" s="52"/>
      <c r="L1062" s="53"/>
      <c r="M1062" s="103"/>
      <c r="N1062" s="25"/>
      <c r="O1062" s="195"/>
    </row>
    <row r="1063" spans="1:15" ht="15.95" customHeight="1" x14ac:dyDescent="0.25">
      <c r="A1063" s="121"/>
      <c r="B1063" s="23"/>
      <c r="C1063" s="59" t="s">
        <v>12</v>
      </c>
      <c r="D1063" s="65">
        <v>46478</v>
      </c>
      <c r="E1063" s="36"/>
      <c r="F1063" s="483"/>
      <c r="G1063" s="484"/>
      <c r="H1063" s="51"/>
      <c r="I1063" s="415"/>
      <c r="J1063" s="52"/>
      <c r="K1063" s="52"/>
      <c r="L1063" s="53"/>
      <c r="M1063" s="103"/>
      <c r="N1063" s="25"/>
      <c r="O1063" s="195"/>
    </row>
    <row r="1064" spans="1:15" ht="15.95" customHeight="1" x14ac:dyDescent="0.25">
      <c r="A1064" s="121"/>
      <c r="B1064" s="23"/>
      <c r="C1064" s="59" t="s">
        <v>27</v>
      </c>
      <c r="D1064" s="66">
        <v>200000000</v>
      </c>
      <c r="E1064" s="36"/>
      <c r="F1064" s="483"/>
      <c r="G1064" s="484"/>
      <c r="H1064" s="51"/>
      <c r="I1064" s="415"/>
      <c r="J1064" s="52"/>
      <c r="K1064" s="52"/>
      <c r="L1064" s="53"/>
      <c r="M1064" s="103"/>
      <c r="N1064" s="25"/>
      <c r="O1064" s="195"/>
    </row>
    <row r="1065" spans="1:15" ht="15.95" customHeight="1" x14ac:dyDescent="0.25">
      <c r="A1065" s="121"/>
      <c r="B1065" s="23"/>
      <c r="C1065" s="59" t="s">
        <v>26</v>
      </c>
      <c r="D1065" s="66">
        <v>6</v>
      </c>
      <c r="E1065" s="36"/>
      <c r="F1065" s="483"/>
      <c r="G1065" s="484"/>
      <c r="N1065" s="25"/>
      <c r="O1065" s="195"/>
    </row>
    <row r="1066" spans="1:15" ht="15.95" customHeight="1" x14ac:dyDescent="0.25">
      <c r="A1066" s="121"/>
      <c r="B1066" s="23"/>
      <c r="C1066" s="59" t="s">
        <v>19</v>
      </c>
      <c r="D1066" s="67" t="s">
        <v>20</v>
      </c>
      <c r="E1066" s="36"/>
      <c r="F1066" s="483"/>
      <c r="G1066" s="484"/>
      <c r="N1066" s="25"/>
      <c r="O1066" s="195"/>
    </row>
    <row r="1067" spans="1:15" ht="15.95" customHeight="1" x14ac:dyDescent="0.25">
      <c r="A1067" s="121"/>
      <c r="B1067" s="23"/>
      <c r="C1067" s="59" t="s">
        <v>14</v>
      </c>
      <c r="D1067" s="68">
        <v>7.0000000000000007E-2</v>
      </c>
      <c r="E1067" s="36"/>
      <c r="F1067" s="480"/>
      <c r="G1067" s="484"/>
      <c r="H1067" s="656" t="s">
        <v>43</v>
      </c>
      <c r="I1067" s="656"/>
      <c r="J1067" s="92">
        <f>+J1045+(L1052*(P46+D1067)*(M46-H1052)/365)</f>
        <v>-1554717808.2191784</v>
      </c>
      <c r="K1067" s="92"/>
      <c r="L1067" s="24"/>
      <c r="M1067" s="24"/>
      <c r="N1067" s="25"/>
      <c r="O1067" s="195"/>
    </row>
    <row r="1068" spans="1:15" ht="15.95" customHeight="1" x14ac:dyDescent="0.25">
      <c r="A1068" s="121"/>
      <c r="B1068" s="23"/>
      <c r="C1068" s="59" t="s">
        <v>31</v>
      </c>
      <c r="D1068" s="68"/>
      <c r="E1068" s="41"/>
      <c r="F1068" s="480"/>
      <c r="G1068" s="484"/>
      <c r="H1068" s="657"/>
      <c r="I1068" s="657"/>
      <c r="J1068" s="33"/>
      <c r="K1068" s="24"/>
      <c r="L1068" s="33"/>
      <c r="M1068" s="33"/>
      <c r="N1068" s="25"/>
      <c r="O1068" s="195"/>
    </row>
    <row r="1069" spans="1:15" ht="15.95" customHeight="1" x14ac:dyDescent="0.25">
      <c r="A1069" s="121"/>
      <c r="B1069" s="23"/>
      <c r="C1069" s="59" t="s">
        <v>32</v>
      </c>
      <c r="D1069" s="68"/>
      <c r="E1069" s="36"/>
      <c r="F1069" s="480"/>
      <c r="G1069" s="484"/>
      <c r="H1069" s="24"/>
      <c r="I1069" s="24"/>
      <c r="J1069" s="24"/>
      <c r="K1069" s="24"/>
      <c r="L1069" s="24"/>
      <c r="M1069" s="24"/>
      <c r="N1069" s="25"/>
      <c r="O1069" s="195"/>
    </row>
    <row r="1070" spans="1:15" ht="15.95" customHeight="1" x14ac:dyDescent="0.25">
      <c r="A1070" s="121"/>
      <c r="B1070" s="23"/>
      <c r="C1070" s="59" t="s">
        <v>64</v>
      </c>
      <c r="D1070" s="68">
        <v>0.25</v>
      </c>
      <c r="E1070" s="43"/>
      <c r="F1070" s="480"/>
      <c r="G1070" s="484"/>
      <c r="H1070" s="638" t="s">
        <v>44</v>
      </c>
      <c r="I1070" s="639"/>
      <c r="J1070" s="639"/>
      <c r="K1070" s="639"/>
      <c r="L1070" s="639"/>
      <c r="M1070" s="640"/>
      <c r="N1070" s="25"/>
      <c r="O1070" s="195"/>
    </row>
    <row r="1071" spans="1:15" ht="15.95" customHeight="1" x14ac:dyDescent="0.25">
      <c r="A1071" s="121"/>
      <c r="B1071" s="23"/>
      <c r="C1071" s="60"/>
      <c r="D1071" s="110"/>
      <c r="E1071" s="43"/>
      <c r="F1071" s="480"/>
      <c r="G1071" s="484"/>
      <c r="H1071" s="23"/>
      <c r="I1071" s="24"/>
      <c r="J1071" s="24"/>
      <c r="K1071" s="24"/>
      <c r="L1071" s="24"/>
      <c r="M1071" s="25"/>
      <c r="N1071" s="25"/>
      <c r="O1071" s="195"/>
    </row>
    <row r="1072" spans="1:15" ht="15.95" customHeight="1" x14ac:dyDescent="0.25">
      <c r="A1072" s="121"/>
      <c r="B1072" s="23"/>
      <c r="E1072" s="43"/>
      <c r="F1072" s="480"/>
      <c r="G1072" s="484"/>
      <c r="H1072" s="23"/>
      <c r="I1072" s="24"/>
      <c r="J1072" s="24"/>
      <c r="K1072" s="24"/>
      <c r="L1072" s="24"/>
      <c r="M1072" s="25"/>
      <c r="N1072" s="25"/>
      <c r="O1072" s="195"/>
    </row>
    <row r="1073" spans="1:15" ht="15.95" customHeight="1" x14ac:dyDescent="0.25">
      <c r="A1073" s="121"/>
      <c r="B1073" s="23"/>
      <c r="E1073" s="44"/>
      <c r="F1073" s="480"/>
      <c r="G1073" s="484"/>
      <c r="H1073" s="96"/>
      <c r="I1073" s="35"/>
      <c r="J1073" s="24"/>
      <c r="K1073" s="24"/>
      <c r="L1073" s="24"/>
      <c r="M1073" s="25"/>
      <c r="N1073" s="25"/>
      <c r="O1073" s="195"/>
    </row>
    <row r="1074" spans="1:15" ht="15.95" customHeight="1" x14ac:dyDescent="0.25">
      <c r="A1074" s="121"/>
      <c r="B1074" s="23"/>
      <c r="E1074" s="24"/>
      <c r="F1074" s="480"/>
      <c r="G1074" s="484"/>
      <c r="H1074" s="23"/>
      <c r="I1074" s="24"/>
      <c r="J1074" s="24"/>
      <c r="K1074" s="24"/>
      <c r="L1074" s="24"/>
      <c r="M1074" s="25"/>
      <c r="N1074" s="25"/>
      <c r="O1074" s="195"/>
    </row>
    <row r="1075" spans="1:15" ht="15.95" customHeight="1" x14ac:dyDescent="0.25">
      <c r="A1075" s="121"/>
      <c r="B1075" s="23"/>
      <c r="E1075" s="24"/>
      <c r="F1075" s="480"/>
      <c r="G1075" s="484"/>
      <c r="H1075" s="23"/>
      <c r="I1075" s="24"/>
      <c r="J1075" s="24"/>
      <c r="K1075" s="24"/>
      <c r="L1075" s="24"/>
      <c r="M1075" s="25"/>
      <c r="N1075" s="25"/>
      <c r="O1075" s="195"/>
    </row>
    <row r="1076" spans="1:15" ht="15.95" customHeight="1" x14ac:dyDescent="0.25">
      <c r="A1076" s="121"/>
      <c r="B1076" s="23"/>
      <c r="C1076" s="24"/>
      <c r="D1076" s="24"/>
      <c r="E1076" s="24"/>
      <c r="F1076" s="480"/>
      <c r="G1076" s="485"/>
      <c r="H1076" s="23"/>
      <c r="I1076" s="24"/>
      <c r="J1076" s="24"/>
      <c r="K1076" s="24"/>
      <c r="L1076" s="24"/>
      <c r="M1076" s="25"/>
      <c r="N1076" s="25"/>
      <c r="O1076" s="195"/>
    </row>
    <row r="1077" spans="1:15" ht="15.95" customHeight="1" x14ac:dyDescent="0.25">
      <c r="A1077" s="121"/>
      <c r="B1077" s="23"/>
      <c r="C1077" s="24"/>
      <c r="D1077" s="24"/>
      <c r="E1077" s="24"/>
      <c r="F1077" s="480"/>
      <c r="G1077" s="485"/>
      <c r="H1077" s="23"/>
      <c r="I1077" s="24"/>
      <c r="J1077" s="24"/>
      <c r="K1077" s="24"/>
      <c r="L1077" s="24"/>
      <c r="M1077" s="25"/>
      <c r="N1077" s="25"/>
      <c r="O1077" s="195"/>
    </row>
    <row r="1078" spans="1:15" ht="15.95" customHeight="1" x14ac:dyDescent="0.25">
      <c r="A1078" s="121"/>
      <c r="B1078" s="23"/>
      <c r="C1078" s="24"/>
      <c r="D1078" s="24"/>
      <c r="E1078" s="24"/>
      <c r="F1078" s="480"/>
      <c r="G1078" s="485"/>
      <c r="H1078" s="23"/>
      <c r="I1078" s="24"/>
      <c r="J1078" s="24"/>
      <c r="K1078" s="24"/>
      <c r="L1078" s="24"/>
      <c r="M1078" s="25"/>
      <c r="N1078" s="25"/>
      <c r="O1078" s="195"/>
    </row>
    <row r="1079" spans="1:15" ht="15.95" customHeight="1" x14ac:dyDescent="0.25">
      <c r="A1079" s="121"/>
      <c r="B1079" s="23"/>
      <c r="C1079" s="24"/>
      <c r="D1079" s="24"/>
      <c r="E1079" s="24"/>
      <c r="F1079" s="480"/>
      <c r="G1079" s="485"/>
      <c r="H1079" s="23"/>
      <c r="I1079" s="24"/>
      <c r="J1079" s="24"/>
      <c r="K1079" s="24"/>
      <c r="L1079" s="24"/>
      <c r="M1079" s="25"/>
      <c r="N1079" s="25"/>
      <c r="O1079" s="195"/>
    </row>
    <row r="1080" spans="1:15" ht="15.95" customHeight="1" x14ac:dyDescent="0.25">
      <c r="A1080" s="121"/>
      <c r="B1080" s="23"/>
      <c r="C1080" s="24"/>
      <c r="D1080" s="24"/>
      <c r="E1080" s="24"/>
      <c r="F1080" s="480"/>
      <c r="G1080" s="480"/>
      <c r="H1080" s="23"/>
      <c r="I1080" s="24"/>
      <c r="J1080" s="24"/>
      <c r="K1080" s="24"/>
      <c r="L1080" s="24"/>
      <c r="M1080" s="25"/>
      <c r="N1080" s="25"/>
      <c r="O1080" s="195"/>
    </row>
    <row r="1081" spans="1:15" ht="15.95" customHeight="1" x14ac:dyDescent="0.25">
      <c r="A1081" s="121"/>
      <c r="B1081" s="23"/>
      <c r="C1081" s="24"/>
      <c r="D1081" s="24"/>
      <c r="E1081" s="24"/>
      <c r="F1081" s="480"/>
      <c r="G1081" s="480"/>
      <c r="H1081" s="23"/>
      <c r="I1081" s="24"/>
      <c r="J1081" s="24"/>
      <c r="K1081" s="24"/>
      <c r="L1081" s="24"/>
      <c r="M1081" s="25"/>
      <c r="N1081" s="25"/>
      <c r="O1081" s="195"/>
    </row>
    <row r="1082" spans="1:15" ht="15.95" customHeight="1" x14ac:dyDescent="0.25">
      <c r="A1082" s="121"/>
      <c r="B1082" s="23"/>
      <c r="C1082" s="24"/>
      <c r="D1082" s="24"/>
      <c r="E1082" s="24"/>
      <c r="F1082" s="480"/>
      <c r="G1082" s="480"/>
      <c r="H1082" s="23"/>
      <c r="I1082" s="24"/>
      <c r="J1082" s="24"/>
      <c r="K1082" s="24"/>
      <c r="L1082" s="24"/>
      <c r="M1082" s="25"/>
      <c r="N1082" s="25"/>
      <c r="O1082" s="195"/>
    </row>
    <row r="1083" spans="1:15" ht="15.95" customHeight="1" x14ac:dyDescent="0.25">
      <c r="A1083" s="121"/>
      <c r="B1083" s="23"/>
      <c r="C1083" s="24"/>
      <c r="D1083" s="24"/>
      <c r="E1083" s="24"/>
      <c r="F1083" s="480"/>
      <c r="G1083" s="480"/>
      <c r="H1083" s="26"/>
      <c r="I1083" s="27"/>
      <c r="J1083" s="27"/>
      <c r="K1083" s="27"/>
      <c r="L1083" s="27"/>
      <c r="M1083" s="28"/>
      <c r="N1083" s="25"/>
      <c r="O1083" s="195"/>
    </row>
    <row r="1084" spans="1:15" ht="15.95" customHeight="1" x14ac:dyDescent="0.25">
      <c r="A1084" s="121"/>
      <c r="B1084" s="23"/>
      <c r="C1084" s="24"/>
      <c r="D1084" s="24"/>
      <c r="E1084" s="24"/>
      <c r="F1084" s="480"/>
      <c r="G1084" s="480"/>
      <c r="H1084" s="24"/>
      <c r="I1084" s="24"/>
      <c r="J1084" s="24"/>
      <c r="K1084" s="24"/>
      <c r="L1084" s="24"/>
      <c r="M1084" s="24"/>
      <c r="N1084" s="25"/>
      <c r="O1084" s="195"/>
    </row>
    <row r="1085" spans="1:15" ht="15.95" customHeight="1" x14ac:dyDescent="0.25">
      <c r="A1085" s="121"/>
      <c r="B1085" s="661" t="s">
        <v>191</v>
      </c>
      <c r="C1085" s="662"/>
      <c r="D1085" s="662"/>
      <c r="E1085" s="662"/>
      <c r="F1085" s="662"/>
      <c r="G1085" s="662"/>
      <c r="H1085" s="662"/>
      <c r="I1085" s="662"/>
      <c r="J1085" s="662"/>
      <c r="K1085" s="662"/>
      <c r="L1085" s="662"/>
      <c r="M1085" s="662"/>
      <c r="N1085" s="663"/>
      <c r="O1085" s="195"/>
    </row>
    <row r="1086" spans="1:15" ht="15.95" customHeight="1" x14ac:dyDescent="0.25">
      <c r="A1086" s="121"/>
      <c r="B1086" s="23"/>
      <c r="C1086" s="24"/>
      <c r="D1086" s="24"/>
      <c r="E1086" s="24"/>
      <c r="F1086" s="483"/>
      <c r="G1086" s="484"/>
      <c r="H1086" s="31"/>
      <c r="I1086" s="31"/>
      <c r="J1086" s="24"/>
      <c r="K1086" s="24"/>
      <c r="L1086" s="24"/>
      <c r="M1086" s="24"/>
      <c r="N1086" s="25"/>
      <c r="O1086" s="195"/>
    </row>
    <row r="1087" spans="1:15" ht="15.95" customHeight="1" x14ac:dyDescent="0.25">
      <c r="A1087" s="121"/>
      <c r="B1087" s="23"/>
      <c r="C1087" s="638" t="s">
        <v>37</v>
      </c>
      <c r="D1087" s="639"/>
      <c r="E1087" s="640"/>
      <c r="F1087" s="483"/>
      <c r="G1087" s="484"/>
      <c r="H1087" s="641" t="s">
        <v>28</v>
      </c>
      <c r="I1087" s="642"/>
      <c r="J1087" s="39">
        <f>+SUMIFS(K1094:K1100,H1094:H1100,"&gt;="&amp;M4)</f>
        <v>0</v>
      </c>
      <c r="K1087" s="24"/>
      <c r="L1087" s="24"/>
      <c r="M1087" s="24"/>
      <c r="N1087" s="25"/>
      <c r="O1087" s="195"/>
    </row>
    <row r="1088" spans="1:15" ht="15.95" customHeight="1" x14ac:dyDescent="0.25">
      <c r="A1088" s="121"/>
      <c r="B1088" s="23"/>
      <c r="C1088" s="58"/>
      <c r="D1088" s="643"/>
      <c r="E1088" s="644"/>
      <c r="F1088" s="483"/>
      <c r="G1088" s="484"/>
      <c r="H1088" s="645" t="s">
        <v>29</v>
      </c>
      <c r="I1088" s="646"/>
      <c r="J1088" s="40">
        <f>D1105</f>
        <v>44914</v>
      </c>
      <c r="K1088" s="24"/>
      <c r="L1088" s="24"/>
      <c r="M1088" s="24"/>
      <c r="N1088" s="25"/>
      <c r="O1088" s="195"/>
    </row>
    <row r="1089" spans="1:17" ht="20.100000000000001" customHeight="1" x14ac:dyDescent="0.25">
      <c r="A1089" s="121"/>
      <c r="B1089" s="23"/>
      <c r="C1089" s="59" t="s">
        <v>25</v>
      </c>
      <c r="D1089" s="647"/>
      <c r="E1089" s="648"/>
      <c r="F1089" s="483"/>
      <c r="G1089" s="484"/>
      <c r="H1089" s="649" t="s">
        <v>30</v>
      </c>
      <c r="I1089" s="650"/>
      <c r="J1089" s="42" t="s">
        <v>523</v>
      </c>
      <c r="L1089" s="24"/>
      <c r="M1089" s="24"/>
      <c r="N1089" s="25"/>
      <c r="O1089" s="195"/>
    </row>
    <row r="1090" spans="1:17" ht="15.95" customHeight="1" x14ac:dyDescent="0.25">
      <c r="A1090" s="121"/>
      <c r="B1090" s="23"/>
      <c r="C1090" s="59" t="s">
        <v>6</v>
      </c>
      <c r="D1090" s="647" t="s">
        <v>387</v>
      </c>
      <c r="E1090" s="648"/>
      <c r="F1090" s="483"/>
      <c r="G1090" s="484"/>
      <c r="H1090" s="24"/>
      <c r="I1090" s="24"/>
      <c r="J1090" s="24"/>
      <c r="K1090" s="24"/>
      <c r="L1090" s="24"/>
      <c r="M1090" s="24"/>
      <c r="N1090" s="25"/>
      <c r="O1090" s="195"/>
    </row>
    <row r="1091" spans="1:17" ht="20.100000000000001" customHeight="1" x14ac:dyDescent="0.25">
      <c r="A1091" s="121"/>
      <c r="B1091" s="23"/>
      <c r="C1091" s="59" t="s">
        <v>8</v>
      </c>
      <c r="D1091" s="647" t="s">
        <v>17</v>
      </c>
      <c r="E1091" s="648"/>
      <c r="F1091" s="483"/>
      <c r="G1091" s="484"/>
      <c r="H1091" s="651" t="s">
        <v>41</v>
      </c>
      <c r="I1091" s="652"/>
      <c r="J1091" s="652"/>
      <c r="K1091" s="652"/>
      <c r="L1091" s="653"/>
      <c r="M1091" s="24"/>
      <c r="N1091" s="25"/>
      <c r="O1091" s="194" t="str">
        <f>+D1209</f>
        <v>ON Pyme CNV Garantizada</v>
      </c>
    </row>
    <row r="1092" spans="1:17" ht="15.95" customHeight="1" x14ac:dyDescent="0.25">
      <c r="A1092" s="121"/>
      <c r="B1092" s="23"/>
      <c r="C1092" s="59" t="s">
        <v>33</v>
      </c>
      <c r="D1092" s="73" t="s">
        <v>309</v>
      </c>
      <c r="E1092" s="273">
        <v>1</v>
      </c>
      <c r="F1092" s="483">
        <f>+E1092*J1087</f>
        <v>0</v>
      </c>
      <c r="G1092" s="484"/>
      <c r="H1092" s="81" t="s">
        <v>0</v>
      </c>
      <c r="I1092" s="82" t="s">
        <v>2</v>
      </c>
      <c r="J1092" s="82" t="s">
        <v>3</v>
      </c>
      <c r="K1092" s="82" t="s">
        <v>4</v>
      </c>
      <c r="L1092" s="83" t="s">
        <v>5</v>
      </c>
      <c r="M1092" s="83" t="s">
        <v>44</v>
      </c>
      <c r="N1092" s="25"/>
      <c r="O1092" s="195"/>
    </row>
    <row r="1093" spans="1:17" ht="15.95" customHeight="1" x14ac:dyDescent="0.25">
      <c r="A1093" s="121"/>
      <c r="B1093" s="23"/>
      <c r="C1093" s="278" t="s">
        <v>33</v>
      </c>
      <c r="D1093" s="73"/>
      <c r="E1093" s="273"/>
      <c r="F1093" s="483">
        <f>+E1093*J1087</f>
        <v>0</v>
      </c>
      <c r="G1093" s="484"/>
      <c r="H1093" s="45"/>
      <c r="I1093" s="46"/>
      <c r="J1093" s="46"/>
      <c r="K1093" s="46"/>
      <c r="L1093" s="47"/>
      <c r="M1093" s="101"/>
      <c r="N1093" s="25"/>
      <c r="O1093" s="194" t="str">
        <f>+IF(J1207="vencida",IF(D1209='Reporte - Oscuro'!$C$40,'Reporte - Oscuro'!$C$40&amp;" vencida",IF(D1209='Reporte - Oscuro'!$C$41,'Reporte - Oscuro'!$C$41&amp;" vencida",IF(D1209='Reporte - Oscuro'!$C$42,'Reporte - Oscuro'!$C$42&amp;" vencida",'Reporte - Oscuro'!$C$43&amp;" vencida"))),D1209&amp;" vigente")</f>
        <v>ON Pyme CNV Garantizada vigente</v>
      </c>
    </row>
    <row r="1094" spans="1:17" ht="15.95" customHeight="1" x14ac:dyDescent="0.25">
      <c r="A1094" s="121"/>
      <c r="B1094" s="23"/>
      <c r="C1094" s="59" t="s">
        <v>34</v>
      </c>
      <c r="D1094" s="654" t="s">
        <v>48</v>
      </c>
      <c r="E1094" s="655"/>
      <c r="F1094" s="483"/>
      <c r="G1094" s="484"/>
      <c r="H1094" s="48">
        <f>D1104</f>
        <v>43817</v>
      </c>
      <c r="I1094" s="46"/>
      <c r="J1094" s="49"/>
      <c r="K1094" s="49"/>
      <c r="L1094" s="50">
        <f>+D1106</f>
        <v>4000000</v>
      </c>
      <c r="M1094" s="102">
        <f>-L1094</f>
        <v>-4000000</v>
      </c>
      <c r="N1094" s="25"/>
      <c r="O1094" s="195"/>
    </row>
    <row r="1095" spans="1:17" ht="15.95" customHeight="1" x14ac:dyDescent="0.25">
      <c r="A1095" s="121"/>
      <c r="B1095" s="23"/>
      <c r="C1095" s="79" t="s">
        <v>38</v>
      </c>
      <c r="D1095" s="75"/>
      <c r="E1095" s="76"/>
      <c r="F1095" s="483"/>
      <c r="G1095" s="484"/>
      <c r="H1095" s="51">
        <v>44000</v>
      </c>
      <c r="I1095" s="415" t="s">
        <v>13</v>
      </c>
      <c r="J1095" s="52">
        <f t="shared" ref="J1095:J1100" si="101">L1094*($P$4+D1109)*(H1095-H1094)/365</f>
        <v>805952.05479452072</v>
      </c>
      <c r="K1095" s="52">
        <f>L1094*D1112</f>
        <v>666666.66666666395</v>
      </c>
      <c r="L1095" s="53">
        <f>+L1094-K1095</f>
        <v>3333333.3333333358</v>
      </c>
      <c r="M1095" s="103">
        <f>+J1095+K1095</f>
        <v>1472618.7214611848</v>
      </c>
      <c r="N1095" s="25"/>
      <c r="O1095" s="195"/>
    </row>
    <row r="1096" spans="1:17" ht="15.95" customHeight="1" x14ac:dyDescent="0.25">
      <c r="A1096" s="121"/>
      <c r="B1096" s="23"/>
      <c r="C1096" s="59"/>
      <c r="D1096" s="399"/>
      <c r="E1096" s="271"/>
      <c r="F1096" s="483"/>
      <c r="G1096" s="484"/>
      <c r="H1096" s="51">
        <v>44183</v>
      </c>
      <c r="I1096" s="415" t="s">
        <v>13</v>
      </c>
      <c r="J1096" s="52">
        <f t="shared" si="101"/>
        <v>537928.08219178126</v>
      </c>
      <c r="K1096" s="52">
        <v>666666.66666666395</v>
      </c>
      <c r="L1096" s="53">
        <f>+L1095-K1096</f>
        <v>2666666.6666666716</v>
      </c>
      <c r="M1096" s="103">
        <f>+J1096+K1096</f>
        <v>1204594.7488584453</v>
      </c>
      <c r="N1096" s="25"/>
      <c r="O1096" s="195"/>
    </row>
    <row r="1097" spans="1:17" ht="15.95" customHeight="1" x14ac:dyDescent="0.25">
      <c r="A1097" s="121"/>
      <c r="B1097" s="23"/>
      <c r="C1097" s="59"/>
      <c r="D1097" s="399"/>
      <c r="E1097" s="271"/>
      <c r="F1097" s="483"/>
      <c r="G1097" s="484"/>
      <c r="H1097" s="51">
        <v>44365</v>
      </c>
      <c r="I1097" s="415" t="s">
        <v>13</v>
      </c>
      <c r="J1097" s="52">
        <f t="shared" si="101"/>
        <v>427990.86757990957</v>
      </c>
      <c r="K1097" s="52">
        <v>666666.66666666395</v>
      </c>
      <c r="L1097" s="53">
        <f>+L1096-K1097</f>
        <v>2000000.0000000077</v>
      </c>
      <c r="M1097" s="103">
        <f>+J1097+K1097</f>
        <v>1094657.5342465735</v>
      </c>
      <c r="N1097" s="25"/>
      <c r="O1097" s="195"/>
    </row>
    <row r="1098" spans="1:17" ht="15.95" customHeight="1" x14ac:dyDescent="0.25">
      <c r="A1098" s="121"/>
      <c r="B1098" s="32"/>
      <c r="C1098" s="60"/>
      <c r="D1098" s="475" t="str">
        <f>+B1085</f>
        <v>Dos Banderas I</v>
      </c>
      <c r="E1098" s="401"/>
      <c r="F1098" s="483"/>
      <c r="G1098" s="484">
        <f>+J1087</f>
        <v>0</v>
      </c>
      <c r="H1098" s="51">
        <v>44548</v>
      </c>
      <c r="I1098" s="415" t="s">
        <v>13</v>
      </c>
      <c r="J1098" s="52">
        <f t="shared" si="101"/>
        <v>489880.13698630262</v>
      </c>
      <c r="K1098" s="52">
        <v>666666.66666666395</v>
      </c>
      <c r="L1098" s="53">
        <f>+L1097-K1098</f>
        <v>1333333.3333333437</v>
      </c>
      <c r="M1098" s="103">
        <f>+J1098+K1098</f>
        <v>1156546.8036529666</v>
      </c>
      <c r="N1098" s="25"/>
      <c r="O1098" s="197">
        <f>+M1212</f>
        <v>-50000000</v>
      </c>
      <c r="P1098" s="197">
        <f>-M1212</f>
        <v>50000000</v>
      </c>
      <c r="Q1098" s="197"/>
    </row>
    <row r="1099" spans="1:17" ht="15.95" customHeight="1" x14ac:dyDescent="0.25">
      <c r="A1099" s="121"/>
      <c r="B1099" s="32"/>
      <c r="C1099" s="150"/>
      <c r="D1099" s="272"/>
      <c r="E1099" s="272"/>
      <c r="F1099" s="483"/>
      <c r="G1099" s="484"/>
      <c r="H1099" s="51">
        <v>44730</v>
      </c>
      <c r="I1099" s="415" t="s">
        <v>13</v>
      </c>
      <c r="J1099" s="52">
        <f t="shared" si="101"/>
        <v>213995.43378995603</v>
      </c>
      <c r="K1099" s="52">
        <v>666666.66666666395</v>
      </c>
      <c r="L1099" s="53">
        <f t="shared" ref="L1099:L1100" si="102">+L1098-K1099</f>
        <v>666666.66666667978</v>
      </c>
      <c r="M1099" s="103">
        <f t="shared" ref="M1099:M1100" si="103">+J1099+K1099</f>
        <v>880662.10045661998</v>
      </c>
      <c r="N1099" s="25"/>
      <c r="O1099" s="197">
        <f>+M1213+O1098</f>
        <v>-24088281.25</v>
      </c>
      <c r="P1099" s="197">
        <f>+(M1213/(1+$J$1184)^((H1213-$H$1176)/365))/$P$1021</f>
        <v>1.7274479166666667</v>
      </c>
      <c r="Q1099" s="197">
        <f>+P1099*((H1213-$H$1176)/365)</f>
        <v>5.7266081621004572</v>
      </c>
    </row>
    <row r="1100" spans="1:17" ht="15.95" customHeight="1" x14ac:dyDescent="0.25">
      <c r="A1100" s="121"/>
      <c r="B1100" s="32"/>
      <c r="C1100" s="638" t="s">
        <v>36</v>
      </c>
      <c r="D1100" s="640"/>
      <c r="E1100" s="272"/>
      <c r="F1100" s="483"/>
      <c r="G1100" s="484"/>
      <c r="H1100" s="51">
        <v>44913</v>
      </c>
      <c r="I1100" s="415" t="s">
        <v>13</v>
      </c>
      <c r="J1100" s="52">
        <f t="shared" si="101"/>
        <v>107585.61643835829</v>
      </c>
      <c r="K1100" s="52">
        <v>666666.66666666395</v>
      </c>
      <c r="L1100" s="53">
        <f t="shared" si="102"/>
        <v>1.5832483768463135E-8</v>
      </c>
      <c r="M1100" s="103">
        <f t="shared" si="103"/>
        <v>774252.28310502227</v>
      </c>
      <c r="N1100" s="25"/>
      <c r="O1100" s="197">
        <f>+M1214+O1099</f>
        <v>2295190.9722222239</v>
      </c>
      <c r="P1100" s="197">
        <f>+(M1214/(1+$J$1184)^((H1214-$H$1176)/365))/$P$1021</f>
        <v>1.7588981481481483</v>
      </c>
      <c r="Q1100" s="197">
        <f>+P1100*((H1214-$H$1176)/365)</f>
        <v>6.6934507610350078</v>
      </c>
    </row>
    <row r="1101" spans="1:17" ht="15.95" customHeight="1" x14ac:dyDescent="0.25">
      <c r="A1101" s="121"/>
      <c r="B1101" s="32"/>
      <c r="C1101" s="59"/>
      <c r="D1101" s="62"/>
      <c r="E1101" s="272"/>
      <c r="F1101" s="483"/>
      <c r="G1101" s="484"/>
      <c r="H1101" s="51"/>
      <c r="I1101" s="415"/>
      <c r="J1101" s="52"/>
      <c r="K1101" s="52"/>
      <c r="L1101" s="53"/>
      <c r="M1101" s="103"/>
      <c r="N1101" s="25"/>
      <c r="O1101" s="197">
        <f>+M1215+O1100</f>
        <v>29711206.597222228</v>
      </c>
      <c r="P1101" s="197">
        <f>+(M1215/(1+$J$1184)^((H1215-$H$1176)/365))/$P$1021</f>
        <v>1.8277343750000004</v>
      </c>
      <c r="Q1101" s="197">
        <f>+P1101*((H1215-$H$1176)/365)</f>
        <v>7.8817915239726037</v>
      </c>
    </row>
    <row r="1102" spans="1:17" ht="15.95" customHeight="1" x14ac:dyDescent="0.25">
      <c r="A1102" s="121"/>
      <c r="B1102" s="32"/>
      <c r="C1102" s="59" t="s">
        <v>9</v>
      </c>
      <c r="D1102" s="98" t="s">
        <v>18</v>
      </c>
      <c r="E1102" s="272"/>
      <c r="F1102" s="483"/>
      <c r="G1102" s="484"/>
      <c r="H1102" s="51"/>
      <c r="I1102" s="415"/>
      <c r="J1102" s="52"/>
      <c r="K1102" s="52"/>
      <c r="L1102" s="53"/>
      <c r="M1102" s="103"/>
      <c r="N1102" s="25"/>
      <c r="O1102" s="197">
        <f>+M1216+O1101</f>
        <v>49098614.930555567</v>
      </c>
      <c r="P1102" s="197">
        <f>+(M1216/(1+$J$1184)^((H1216-$H$1176)/365))/$P$1021</f>
        <v>1.2924938888888891</v>
      </c>
      <c r="Q1102" s="197">
        <f>+P1102*((H1216-$H$1176)/365)</f>
        <v>6.2181349832572312</v>
      </c>
    </row>
    <row r="1103" spans="1:17" ht="15.95" customHeight="1" x14ac:dyDescent="0.25">
      <c r="A1103" s="121"/>
      <c r="B1103" s="23"/>
      <c r="C1103" s="59" t="s">
        <v>10</v>
      </c>
      <c r="D1103" s="65">
        <v>44782</v>
      </c>
      <c r="E1103" s="272"/>
      <c r="F1103" s="483"/>
      <c r="G1103" s="484"/>
      <c r="H1103" s="54"/>
      <c r="I1103" s="61"/>
      <c r="J1103" s="105"/>
      <c r="K1103" s="105"/>
      <c r="L1103" s="106"/>
      <c r="M1103" s="402"/>
      <c r="N1103" s="25"/>
      <c r="O1103" s="197">
        <f>+M1217+O1102</f>
        <v>61449593.055555567</v>
      </c>
      <c r="P1103" s="197">
        <f>+(M1217/(1+$J$1184)^((H1217-$H$1176)/365))/$P$1021</f>
        <v>0.82339854166666671</v>
      </c>
      <c r="Q1103" s="197">
        <f>+P1103*((H1217-$H$1176)/365)</f>
        <v>4.3741637597031966</v>
      </c>
    </row>
    <row r="1104" spans="1:17" ht="15.95" customHeight="1" x14ac:dyDescent="0.25">
      <c r="A1104" s="121"/>
      <c r="B1104" s="23"/>
      <c r="C1104" s="59" t="s">
        <v>11</v>
      </c>
      <c r="D1104" s="65">
        <v>43817</v>
      </c>
      <c r="E1104" s="36"/>
      <c r="F1104" s="483"/>
      <c r="G1104" s="484"/>
      <c r="H1104" s="109"/>
      <c r="I1104" s="109"/>
      <c r="J1104" s="109"/>
      <c r="K1104" s="109"/>
      <c r="L1104" s="109"/>
      <c r="M1104" s="109"/>
      <c r="N1104" s="25"/>
      <c r="O1104" s="197"/>
      <c r="P1104" s="197"/>
      <c r="Q1104" s="197"/>
    </row>
    <row r="1105" spans="1:17" ht="15.95" customHeight="1" x14ac:dyDescent="0.25">
      <c r="A1105" s="121"/>
      <c r="B1105" s="23"/>
      <c r="C1105" s="59" t="s">
        <v>12</v>
      </c>
      <c r="D1105" s="65">
        <v>44914</v>
      </c>
      <c r="E1105" s="36"/>
      <c r="F1105" s="483"/>
      <c r="G1105" s="484"/>
      <c r="H1105" s="656" t="s">
        <v>43</v>
      </c>
      <c r="I1105" s="656"/>
      <c r="J1105" s="92">
        <f>+J1087+(J1087*($P$4+D1109)*($M$4-H1099)/365)</f>
        <v>0</v>
      </c>
      <c r="K1105" s="92"/>
      <c r="L1105" s="24"/>
      <c r="M1105" s="24"/>
      <c r="N1105" s="25"/>
      <c r="O1105" s="197"/>
      <c r="P1105" s="197"/>
      <c r="Q1105" s="197"/>
    </row>
    <row r="1106" spans="1:17" ht="15.95" customHeight="1" x14ac:dyDescent="0.25">
      <c r="A1106" s="121"/>
      <c r="B1106" s="23"/>
      <c r="C1106" s="59" t="s">
        <v>27</v>
      </c>
      <c r="D1106" s="66">
        <v>4000000</v>
      </c>
      <c r="E1106" s="36"/>
      <c r="F1106" s="483"/>
      <c r="G1106" s="484"/>
      <c r="H1106" s="657"/>
      <c r="I1106" s="657"/>
      <c r="J1106" s="33"/>
      <c r="K1106" s="24"/>
      <c r="L1106" s="33"/>
      <c r="M1106" s="33"/>
      <c r="N1106" s="25"/>
      <c r="O1106" s="197"/>
      <c r="P1106" s="29"/>
    </row>
    <row r="1107" spans="1:17" ht="15.95" customHeight="1" x14ac:dyDescent="0.25">
      <c r="A1107" s="121"/>
      <c r="B1107" s="23"/>
      <c r="C1107" s="59" t="s">
        <v>26</v>
      </c>
      <c r="D1107" s="66">
        <v>6</v>
      </c>
      <c r="E1107" s="36"/>
      <c r="F1107" s="483"/>
      <c r="G1107" s="484"/>
      <c r="H1107" s="24"/>
      <c r="I1107" s="24"/>
      <c r="J1107" s="24"/>
      <c r="K1107" s="24"/>
      <c r="L1107" s="24"/>
      <c r="M1107" s="24"/>
      <c r="N1107" s="25"/>
      <c r="O1107" s="197"/>
      <c r="P1107" s="29"/>
    </row>
    <row r="1108" spans="1:17" ht="15.95" customHeight="1" x14ac:dyDescent="0.25">
      <c r="A1108" s="121"/>
      <c r="B1108" s="23"/>
      <c r="C1108" s="59" t="s">
        <v>19</v>
      </c>
      <c r="D1108" s="67" t="s">
        <v>20</v>
      </c>
      <c r="E1108" s="36"/>
      <c r="F1108" s="483"/>
      <c r="G1108" s="484"/>
      <c r="H1108" s="638" t="s">
        <v>44</v>
      </c>
      <c r="I1108" s="639"/>
      <c r="J1108" s="639"/>
      <c r="K1108" s="639"/>
      <c r="L1108" s="639"/>
      <c r="M1108" s="640"/>
      <c r="N1108" s="25"/>
      <c r="O1108" s="197"/>
      <c r="P1108" s="29"/>
    </row>
    <row r="1109" spans="1:17" ht="15.95" customHeight="1" x14ac:dyDescent="0.25">
      <c r="A1109" s="121"/>
      <c r="B1109" s="23"/>
      <c r="C1109" s="59" t="s">
        <v>14</v>
      </c>
      <c r="D1109" s="68">
        <v>0.08</v>
      </c>
      <c r="E1109" s="36"/>
      <c r="F1109" s="480"/>
      <c r="G1109" s="484"/>
      <c r="H1109" s="23"/>
      <c r="I1109" s="24"/>
      <c r="J1109" s="24"/>
      <c r="K1109" s="24"/>
      <c r="L1109" s="24"/>
      <c r="M1109" s="25"/>
      <c r="N1109" s="25"/>
      <c r="O1109" s="197"/>
    </row>
    <row r="1110" spans="1:17" ht="15.95" customHeight="1" x14ac:dyDescent="0.25">
      <c r="A1110" s="121"/>
      <c r="B1110" s="23"/>
      <c r="C1110" s="59" t="s">
        <v>31</v>
      </c>
      <c r="D1110" s="68"/>
      <c r="E1110" s="41"/>
      <c r="F1110" s="480"/>
      <c r="G1110" s="484"/>
      <c r="H1110" s="23"/>
      <c r="I1110" s="24"/>
      <c r="J1110" s="24"/>
      <c r="K1110" s="24"/>
      <c r="L1110" s="24"/>
      <c r="M1110" s="25"/>
      <c r="N1110" s="25"/>
      <c r="O1110" s="197"/>
      <c r="P1110" s="37"/>
    </row>
    <row r="1111" spans="1:17" ht="15.95" customHeight="1" x14ac:dyDescent="0.25">
      <c r="A1111" s="121"/>
      <c r="B1111" s="23"/>
      <c r="C1111" s="59" t="s">
        <v>32</v>
      </c>
      <c r="D1111" s="68"/>
      <c r="E1111" s="36"/>
      <c r="F1111" s="480"/>
      <c r="G1111" s="484"/>
      <c r="H1111" s="96"/>
      <c r="I1111" s="35"/>
      <c r="J1111" s="24"/>
      <c r="K1111" s="24"/>
      <c r="L1111" s="24"/>
      <c r="M1111" s="25"/>
      <c r="N1111" s="25"/>
      <c r="O1111" s="197"/>
    </row>
    <row r="1112" spans="1:17" ht="15.95" customHeight="1" x14ac:dyDescent="0.25">
      <c r="A1112" s="121"/>
      <c r="B1112" s="23"/>
      <c r="C1112" s="59" t="s">
        <v>21</v>
      </c>
      <c r="D1112" s="68">
        <v>0.16666666666666599</v>
      </c>
      <c r="E1112" s="43"/>
      <c r="F1112" s="480"/>
      <c r="G1112" s="484"/>
      <c r="H1112" s="23"/>
      <c r="I1112" s="24"/>
      <c r="J1112" s="24"/>
      <c r="K1112" s="24"/>
      <c r="L1112" s="24"/>
      <c r="M1112" s="25"/>
      <c r="N1112" s="25"/>
      <c r="O1112" s="195"/>
    </row>
    <row r="1113" spans="1:17" ht="15.95" customHeight="1" x14ac:dyDescent="0.25">
      <c r="A1113" s="121"/>
      <c r="B1113" s="23"/>
      <c r="C1113" s="60"/>
      <c r="D1113" s="110"/>
      <c r="E1113" s="43"/>
      <c r="F1113" s="480"/>
      <c r="G1113" s="484"/>
      <c r="H1113" s="23"/>
      <c r="I1113" s="24"/>
      <c r="J1113" s="24"/>
      <c r="K1113" s="24"/>
      <c r="L1113" s="24"/>
      <c r="M1113" s="25"/>
      <c r="N1113" s="25"/>
      <c r="O1113" s="195"/>
    </row>
    <row r="1114" spans="1:17" ht="15.95" customHeight="1" x14ac:dyDescent="0.25">
      <c r="A1114" s="121"/>
      <c r="B1114" s="23"/>
      <c r="E1114" s="43"/>
      <c r="F1114" s="480"/>
      <c r="G1114" s="484"/>
      <c r="H1114" s="23"/>
      <c r="I1114" s="24"/>
      <c r="J1114" s="24"/>
      <c r="K1114" s="24"/>
      <c r="L1114" s="24"/>
      <c r="M1114" s="25"/>
      <c r="N1114" s="25"/>
      <c r="O1114" s="195"/>
    </row>
    <row r="1115" spans="1:17" ht="15.95" customHeight="1" x14ac:dyDescent="0.25">
      <c r="A1115" s="121"/>
      <c r="B1115" s="23"/>
      <c r="E1115" s="44"/>
      <c r="F1115" s="480"/>
      <c r="G1115" s="484"/>
      <c r="H1115" s="23"/>
      <c r="I1115" s="24"/>
      <c r="J1115" s="24"/>
      <c r="K1115" s="24"/>
      <c r="L1115" s="24"/>
      <c r="M1115" s="25"/>
      <c r="N1115" s="25"/>
      <c r="O1115" s="195"/>
    </row>
    <row r="1116" spans="1:17" ht="15.95" customHeight="1" x14ac:dyDescent="0.25">
      <c r="A1116" s="121"/>
      <c r="B1116" s="23"/>
      <c r="E1116" s="24"/>
      <c r="F1116" s="480"/>
      <c r="G1116" s="484"/>
      <c r="H1116" s="23"/>
      <c r="I1116" s="24"/>
      <c r="J1116" s="24"/>
      <c r="K1116" s="24"/>
      <c r="L1116" s="24"/>
      <c r="M1116" s="25"/>
      <c r="N1116" s="25"/>
      <c r="O1116" s="195"/>
    </row>
    <row r="1117" spans="1:17" ht="15.95" customHeight="1" x14ac:dyDescent="0.25">
      <c r="A1117" s="121"/>
      <c r="B1117" s="23"/>
      <c r="E1117" s="24"/>
      <c r="F1117" s="480"/>
      <c r="G1117" s="484"/>
      <c r="H1117" s="23"/>
      <c r="I1117" s="24"/>
      <c r="J1117" s="24"/>
      <c r="K1117" s="24"/>
      <c r="L1117" s="24"/>
      <c r="M1117" s="25"/>
      <c r="N1117" s="25"/>
      <c r="O1117" s="195"/>
    </row>
    <row r="1118" spans="1:17" ht="15.95" customHeight="1" x14ac:dyDescent="0.25">
      <c r="A1118" s="121"/>
      <c r="B1118" s="23"/>
      <c r="C1118" s="24"/>
      <c r="D1118" s="24"/>
      <c r="E1118" s="24"/>
      <c r="F1118" s="480"/>
      <c r="G1118" s="485"/>
      <c r="H1118" s="23"/>
      <c r="I1118" s="24"/>
      <c r="J1118" s="24"/>
      <c r="K1118" s="24"/>
      <c r="L1118" s="24"/>
      <c r="M1118" s="25"/>
      <c r="N1118" s="25"/>
      <c r="O1118" s="195"/>
    </row>
    <row r="1119" spans="1:17" ht="15.95" customHeight="1" x14ac:dyDescent="0.25">
      <c r="A1119" s="121"/>
      <c r="B1119" s="23"/>
      <c r="C1119" s="24"/>
      <c r="D1119" s="24"/>
      <c r="E1119" s="24"/>
      <c r="F1119" s="480"/>
      <c r="G1119" s="485"/>
      <c r="H1119" s="23"/>
      <c r="I1119" s="24"/>
      <c r="J1119" s="24"/>
      <c r="K1119" s="24"/>
      <c r="L1119" s="24"/>
      <c r="M1119" s="25"/>
      <c r="N1119" s="25"/>
      <c r="O1119" s="195"/>
    </row>
    <row r="1120" spans="1:17" ht="15.95" customHeight="1" x14ac:dyDescent="0.25">
      <c r="A1120" s="121"/>
      <c r="B1120" s="23"/>
      <c r="C1120" s="24"/>
      <c r="D1120" s="24"/>
      <c r="E1120" s="24"/>
      <c r="F1120" s="480"/>
      <c r="G1120" s="485"/>
      <c r="H1120" s="23"/>
      <c r="I1120" s="24"/>
      <c r="J1120" s="24"/>
      <c r="K1120" s="24"/>
      <c r="L1120" s="24"/>
      <c r="M1120" s="25"/>
      <c r="N1120" s="25"/>
      <c r="O1120" s="195"/>
    </row>
    <row r="1121" spans="1:15" ht="15.95" customHeight="1" x14ac:dyDescent="0.25">
      <c r="A1121" s="121"/>
      <c r="B1121" s="23"/>
      <c r="C1121" s="24"/>
      <c r="D1121" s="24"/>
      <c r="E1121" s="24"/>
      <c r="F1121" s="480"/>
      <c r="G1121" s="485"/>
      <c r="H1121" s="26"/>
      <c r="I1121" s="27"/>
      <c r="J1121" s="27"/>
      <c r="K1121" s="27"/>
      <c r="L1121" s="27"/>
      <c r="M1121" s="28"/>
      <c r="N1121" s="25"/>
      <c r="O1121" s="195"/>
    </row>
    <row r="1122" spans="1:15" ht="15.95" customHeight="1" x14ac:dyDescent="0.25">
      <c r="A1122" s="121"/>
      <c r="B1122" s="26"/>
      <c r="C1122" s="27"/>
      <c r="D1122" s="27"/>
      <c r="E1122" s="27"/>
      <c r="F1122" s="481"/>
      <c r="G1122" s="486"/>
      <c r="H1122" s="27"/>
      <c r="I1122" s="27"/>
      <c r="J1122" s="27"/>
      <c r="K1122" s="27"/>
      <c r="L1122" s="27"/>
      <c r="M1122" s="27"/>
      <c r="N1122" s="28"/>
      <c r="O1122" s="195"/>
    </row>
    <row r="1123" spans="1:15" ht="15.95" customHeight="1" x14ac:dyDescent="0.25">
      <c r="A1123" s="121"/>
      <c r="B1123" s="23"/>
      <c r="C1123" s="24"/>
      <c r="D1123" s="24"/>
      <c r="E1123" s="24"/>
      <c r="F1123" s="480"/>
      <c r="G1123" s="480"/>
      <c r="H1123" s="24"/>
      <c r="I1123" s="24"/>
      <c r="J1123" s="24"/>
      <c r="K1123" s="24"/>
      <c r="L1123" s="24"/>
      <c r="M1123" s="24"/>
      <c r="N1123" s="25"/>
      <c r="O1123" s="195"/>
    </row>
    <row r="1124" spans="1:15" ht="15.95" customHeight="1" x14ac:dyDescent="0.25">
      <c r="A1124" s="122" t="s">
        <v>122</v>
      </c>
      <c r="B1124" s="661" t="s">
        <v>154</v>
      </c>
      <c r="C1124" s="662"/>
      <c r="D1124" s="662"/>
      <c r="E1124" s="662"/>
      <c r="F1124" s="662"/>
      <c r="G1124" s="662"/>
      <c r="H1124" s="662"/>
      <c r="I1124" s="662"/>
      <c r="J1124" s="662"/>
      <c r="K1124" s="662"/>
      <c r="L1124" s="662"/>
      <c r="M1124" s="662"/>
      <c r="N1124" s="663"/>
      <c r="O1124" s="195"/>
    </row>
    <row r="1125" spans="1:15" ht="15.95" customHeight="1" x14ac:dyDescent="0.25">
      <c r="A1125" s="121"/>
      <c r="B1125" s="23"/>
      <c r="C1125" s="24"/>
      <c r="D1125" s="24"/>
      <c r="E1125" s="24"/>
      <c r="F1125" s="483"/>
      <c r="G1125" s="484"/>
      <c r="H1125" s="31"/>
      <c r="I1125" s="31"/>
      <c r="J1125" s="24"/>
      <c r="K1125" s="24"/>
      <c r="L1125" s="24"/>
      <c r="M1125" s="24"/>
      <c r="N1125" s="25"/>
      <c r="O1125" s="195"/>
    </row>
    <row r="1126" spans="1:15" ht="15.95" customHeight="1" x14ac:dyDescent="0.25">
      <c r="A1126" s="121"/>
      <c r="B1126" s="23"/>
      <c r="C1126" s="638" t="s">
        <v>37</v>
      </c>
      <c r="D1126" s="639"/>
      <c r="E1126" s="640"/>
      <c r="F1126" s="483"/>
      <c r="G1126" s="484"/>
      <c r="H1126" s="641" t="s">
        <v>28</v>
      </c>
      <c r="I1126" s="642"/>
      <c r="J1126" s="39">
        <f t="array" ref="J1126">+$D$1144-SUMIF($H$1132:$H$1146,"&lt;"&amp;$M$4,$K$1132:$K$1146)</f>
        <v>0</v>
      </c>
      <c r="K1126" s="24"/>
      <c r="L1126" s="24"/>
      <c r="M1126" s="24"/>
      <c r="N1126" s="25"/>
      <c r="O1126" s="195"/>
    </row>
    <row r="1127" spans="1:15" ht="15.95" customHeight="1" x14ac:dyDescent="0.25">
      <c r="A1127" s="121"/>
      <c r="B1127" s="23"/>
      <c r="C1127" s="58"/>
      <c r="D1127" s="664"/>
      <c r="E1127" s="665"/>
      <c r="F1127" s="483"/>
      <c r="G1127" s="484"/>
      <c r="H1127" s="645" t="s">
        <v>29</v>
      </c>
      <c r="I1127" s="646"/>
      <c r="J1127" s="40">
        <f>+$D$1143</f>
        <v>44492</v>
      </c>
      <c r="K1127" s="24"/>
      <c r="L1127" s="24"/>
      <c r="M1127" s="24"/>
      <c r="N1127" s="25"/>
      <c r="O1127" s="195"/>
    </row>
    <row r="1128" spans="1:15" ht="15.95" customHeight="1" x14ac:dyDescent="0.25">
      <c r="A1128" s="121"/>
      <c r="B1128" s="23"/>
      <c r="C1128" s="59" t="s">
        <v>25</v>
      </c>
      <c r="D1128" s="658"/>
      <c r="E1128" s="659"/>
      <c r="F1128" s="483"/>
      <c r="G1128" s="484"/>
      <c r="H1128" s="649" t="s">
        <v>30</v>
      </c>
      <c r="I1128" s="650"/>
      <c r="J1128" s="42" t="str">
        <f t="array" ref="J1128">+IF(H1145&gt;=M4,MIN(IF(H1132:H1146&gt;=$M$4,H1132:H1146,"")),"vencida")</f>
        <v>vencida</v>
      </c>
      <c r="K1128" s="24"/>
      <c r="L1128" s="24"/>
      <c r="M1128" s="24"/>
      <c r="N1128" s="25"/>
      <c r="O1128" s="195"/>
    </row>
    <row r="1129" spans="1:15" ht="20.100000000000001" customHeight="1" x14ac:dyDescent="0.25">
      <c r="A1129" s="121"/>
      <c r="B1129" s="23"/>
      <c r="C1129" s="59" t="s">
        <v>6</v>
      </c>
      <c r="D1129" s="658" t="s">
        <v>152</v>
      </c>
      <c r="E1129" s="659"/>
      <c r="F1129" s="483"/>
      <c r="G1129" s="484"/>
      <c r="H1129" s="24"/>
      <c r="I1129" s="24"/>
      <c r="J1129" s="24"/>
      <c r="K1129" s="24"/>
      <c r="L1129" s="24"/>
      <c r="M1129" s="24"/>
      <c r="N1129" s="25"/>
      <c r="O1129" s="195"/>
    </row>
    <row r="1130" spans="1:15" ht="15.95" customHeight="1" x14ac:dyDescent="0.25">
      <c r="A1130" s="121"/>
      <c r="B1130" s="23"/>
      <c r="C1130" s="59" t="s">
        <v>8</v>
      </c>
      <c r="D1130" s="658" t="s">
        <v>17</v>
      </c>
      <c r="E1130" s="659"/>
      <c r="F1130" s="483"/>
      <c r="G1130" s="484"/>
      <c r="H1130" s="651" t="s">
        <v>41</v>
      </c>
      <c r="I1130" s="652"/>
      <c r="J1130" s="652"/>
      <c r="K1130" s="652"/>
      <c r="L1130" s="653"/>
      <c r="M1130" s="24"/>
      <c r="N1130" s="25"/>
      <c r="O1130" s="194" t="str">
        <f>+D1245</f>
        <v>ON Pyme CNV Garantizada</v>
      </c>
    </row>
    <row r="1131" spans="1:15" ht="20.100000000000001" customHeight="1" x14ac:dyDescent="0.25">
      <c r="A1131" s="121"/>
      <c r="B1131" s="23"/>
      <c r="C1131" s="59" t="s">
        <v>33</v>
      </c>
      <c r="D1131" s="73" t="s">
        <v>309</v>
      </c>
      <c r="E1131" s="273">
        <v>1</v>
      </c>
      <c r="F1131" s="483">
        <f>+E1131*J1126</f>
        <v>0</v>
      </c>
      <c r="G1131" s="484"/>
      <c r="H1131" s="81" t="s">
        <v>0</v>
      </c>
      <c r="I1131" s="82" t="s">
        <v>2</v>
      </c>
      <c r="J1131" s="82" t="s">
        <v>3</v>
      </c>
      <c r="K1131" s="82" t="s">
        <v>4</v>
      </c>
      <c r="L1131" s="83" t="s">
        <v>5</v>
      </c>
      <c r="M1131" s="82" t="s">
        <v>44</v>
      </c>
      <c r="N1131" s="25"/>
      <c r="O1131" s="195"/>
    </row>
    <row r="1132" spans="1:15" ht="15.95" customHeight="1" x14ac:dyDescent="0.25">
      <c r="A1132" s="121"/>
      <c r="B1132" s="23"/>
      <c r="C1132" s="59" t="s">
        <v>34</v>
      </c>
      <c r="D1132" s="658" t="s">
        <v>48</v>
      </c>
      <c r="E1132" s="659"/>
      <c r="F1132" s="483"/>
      <c r="G1132" s="484"/>
      <c r="H1132" s="45"/>
      <c r="I1132" s="46"/>
      <c r="J1132" s="46"/>
      <c r="K1132" s="46"/>
      <c r="L1132" s="47"/>
      <c r="M1132" s="23"/>
      <c r="N1132" s="25"/>
      <c r="O1132"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33" spans="1:15" ht="15.95" customHeight="1" x14ac:dyDescent="0.25">
      <c r="A1133" s="121"/>
      <c r="B1133" s="23"/>
      <c r="C1133" s="79" t="s">
        <v>38</v>
      </c>
      <c r="D1133" s="75"/>
      <c r="E1133" s="76"/>
      <c r="F1133" s="483"/>
      <c r="G1133" s="484"/>
      <c r="H1133" s="48">
        <f>+$D$1142</f>
        <v>43396</v>
      </c>
      <c r="I1133" s="70"/>
      <c r="J1133" s="49"/>
      <c r="K1133" s="49"/>
      <c r="L1133" s="50">
        <f>+D1144</f>
        <v>2800000</v>
      </c>
      <c r="M1133" s="93">
        <f>-L1133</f>
        <v>-2800000</v>
      </c>
      <c r="N1133" s="25"/>
      <c r="O1133" s="195"/>
    </row>
    <row r="1134" spans="1:15" ht="15.95" customHeight="1" x14ac:dyDescent="0.25">
      <c r="A1134" s="121"/>
      <c r="B1134" s="23"/>
      <c r="C1134" s="59"/>
      <c r="D1134" s="73"/>
      <c r="E1134" s="74"/>
      <c r="F1134" s="483"/>
      <c r="G1134" s="484"/>
      <c r="H1134" s="51">
        <f>IF(DAY(H1133)=DAY($H$1133),IF(WEEKDAY(EDATE(H1133,$D$1145),3)&lt;5,EDATE(H1133,$D$1145),WORKDAY(EDATE(H1133,$D$1145),1)),IF(WEEKDAY(EDATE($H$1133,$D$1145*COUNT($H$1133:H1133)),3)&lt;5,EDATE($H$1133,$D$1145*COUNT($H$1133:H1133)),WORKDAY(EDATE($H$1133,$D$1145*COUNT($H$1133:H1133)),1)))</f>
        <v>43488</v>
      </c>
      <c r="I1134" s="71" t="s">
        <v>13</v>
      </c>
      <c r="J1134" s="52">
        <v>401605.55555555556</v>
      </c>
      <c r="K1134" s="52">
        <f t="shared" ref="K1134:K1143" si="104">+IF(OR(I1134="A + C",I1134="A"),$D$1144*$D$1150,0)</f>
        <v>233520</v>
      </c>
      <c r="L1134" s="53">
        <f t="shared" ref="L1134:L1145" si="105">+L1133-K1134</f>
        <v>2566480</v>
      </c>
      <c r="M1134" s="94">
        <f t="shared" ref="M1134:M1145" si="106">+J1134+K1134</f>
        <v>635125.5555555555</v>
      </c>
      <c r="N1134" s="25"/>
      <c r="O1134" s="195"/>
    </row>
    <row r="1135" spans="1:15" ht="15.95" customHeight="1" x14ac:dyDescent="0.25">
      <c r="A1135" s="121"/>
      <c r="B1135" s="23"/>
      <c r="C1135" s="60"/>
      <c r="D1135" s="77"/>
      <c r="E1135" s="78"/>
      <c r="F1135" s="483"/>
      <c r="G1135" s="484"/>
      <c r="H1135" s="51">
        <f>IF(DAY(H1134)=DAY($H$1133),IF(WEEKDAY(EDATE(H1134,$D$1145),3)&lt;5,EDATE(H1134,$D$1145),WORKDAY(EDATE(H1134,$D$1145),1)),IF(WEEKDAY(EDATE($H$1133,$D$1145*COUNT($H$1133:H1134)),3)&lt;5,EDATE($H$1133,$D$1145*COUNT($H$1133:H1134)),WORKDAY(EDATE($H$1133,$D$1145*COUNT($H$1133:H1134)),1)))</f>
        <v>43578</v>
      </c>
      <c r="I1135" s="71" t="s">
        <v>13</v>
      </c>
      <c r="J1135" s="52">
        <v>349682.89999999997</v>
      </c>
      <c r="K1135" s="52">
        <f t="shared" si="104"/>
        <v>233520</v>
      </c>
      <c r="L1135" s="53">
        <f t="shared" si="105"/>
        <v>2332960</v>
      </c>
      <c r="M1135" s="94">
        <f t="shared" si="106"/>
        <v>583202.89999999991</v>
      </c>
      <c r="N1135" s="25"/>
      <c r="O1135" s="195"/>
    </row>
    <row r="1136" spans="1:15" ht="15.95" customHeight="1" x14ac:dyDescent="0.25">
      <c r="A1136" s="121"/>
      <c r="B1136" s="23"/>
      <c r="C1136" s="60"/>
      <c r="D1136" s="55" t="str">
        <f>+B1124</f>
        <v>Esat I</v>
      </c>
      <c r="E1136" s="64"/>
      <c r="F1136" s="483"/>
      <c r="G1136" s="484">
        <f>+J1126</f>
        <v>0</v>
      </c>
      <c r="H1136" s="51">
        <f>IF(DAY(H1135)=DAY($H$1133),IF(WEEKDAY(EDATE(H1135,$D$1145),3)&lt;5,EDATE(H1135,$D$1145),WORKDAY(EDATE(H1135,$D$1145),1)),IF(WEEKDAY(EDATE($H$1133,$D$1145*COUNT($H$1133:H1135)),3)&lt;5,EDATE($H$1133,$D$1145*COUNT($H$1133:H1135)),WORKDAY(EDATE($H$1133,$D$1145*COUNT($H$1133:H1135)),1)))</f>
        <v>43669</v>
      </c>
      <c r="I1136" s="71" t="s">
        <v>13</v>
      </c>
      <c r="J1136" s="52">
        <v>326373.40847222222</v>
      </c>
      <c r="K1136" s="52">
        <f t="shared" si="104"/>
        <v>233520</v>
      </c>
      <c r="L1136" s="53">
        <f t="shared" si="105"/>
        <v>2099440</v>
      </c>
      <c r="M1136" s="94">
        <f t="shared" si="106"/>
        <v>559893.40847222228</v>
      </c>
      <c r="N1136" s="25"/>
      <c r="O1136" s="195"/>
    </row>
    <row r="1137" spans="1:17" ht="15.95" customHeight="1" x14ac:dyDescent="0.25">
      <c r="A1137" s="121"/>
      <c r="B1137" s="32"/>
      <c r="D1137" s="644"/>
      <c r="E1137" s="660"/>
      <c r="F1137" s="483"/>
      <c r="G1137" s="484"/>
      <c r="H1137" s="51">
        <f>IF(DAY(H1136)=DAY($H$1133),IF(WEEKDAY(EDATE(H1136,$D$1145),3)&lt;5,EDATE(H1136,$D$1145),WORKDAY(EDATE(H1136,$D$1145),1)),IF(WEEKDAY(EDATE($H$1133,$D$1145*COUNT($H$1133:H1136)),3)&lt;5,EDATE($H$1133,$D$1145*COUNT($H$1133:H1136)),WORKDAY(EDATE($H$1133,$D$1145*COUNT($H$1133:H1136)),1)))</f>
        <v>43761</v>
      </c>
      <c r="I1137" s="71" t="s">
        <v>13</v>
      </c>
      <c r="J1137" s="52">
        <v>315542.91611111112</v>
      </c>
      <c r="K1137" s="52">
        <f t="shared" si="104"/>
        <v>233520</v>
      </c>
      <c r="L1137" s="53">
        <f t="shared" si="105"/>
        <v>1865920</v>
      </c>
      <c r="M1137" s="94">
        <f t="shared" si="106"/>
        <v>549062.91611111118</v>
      </c>
      <c r="N1137" s="25"/>
      <c r="O1137" s="197">
        <f>+M1248</f>
        <v>-2000000</v>
      </c>
      <c r="P1137" s="197">
        <f>-M1248</f>
        <v>2000000</v>
      </c>
      <c r="Q1137" s="197"/>
    </row>
    <row r="1138" spans="1:17" ht="15.95" customHeight="1" x14ac:dyDescent="0.25">
      <c r="A1138" s="121"/>
      <c r="B1138" s="23"/>
      <c r="C1138" s="638" t="s">
        <v>36</v>
      </c>
      <c r="D1138" s="640"/>
      <c r="E1138" s="36"/>
      <c r="F1138" s="483"/>
      <c r="G1138" s="484"/>
      <c r="H1138" s="51">
        <f>IF(DAY(H1137)=DAY($H$1133),IF(WEEKDAY(EDATE(H1137,$D$1145),3)&lt;5,EDATE(H1137,$D$1145),WORKDAY(EDATE(H1137,$D$1145),1)),IF(WEEKDAY(EDATE($H$1133,$D$1145*COUNT($H$1133:H1137)),3)&lt;5,EDATE($H$1133,$D$1145*COUNT($H$1133:H1137)),WORKDAY(EDATE($H$1133,$D$1145*COUNT($H$1133:H1137)),1)))</f>
        <v>43853</v>
      </c>
      <c r="I1138" s="71" t="s">
        <v>13</v>
      </c>
      <c r="J1138" s="52">
        <v>254069.62777777776</v>
      </c>
      <c r="K1138" s="52">
        <f t="shared" si="104"/>
        <v>233520</v>
      </c>
      <c r="L1138" s="53">
        <f t="shared" si="105"/>
        <v>1632400</v>
      </c>
      <c r="M1138" s="94">
        <f t="shared" si="106"/>
        <v>487589.62777777773</v>
      </c>
      <c r="N1138" s="25"/>
      <c r="O1138" s="197">
        <f>+M1249+O1137</f>
        <v>-908184.02777777752</v>
      </c>
      <c r="P1138" s="197">
        <f>+(M1249/(1+$J$1256)^((H1249-$H$1248)/365))/$P$1137</f>
        <v>0.54590798611111124</v>
      </c>
      <c r="Q1138" s="197">
        <f>+P1138*((H1249-$H$1248)/365)</f>
        <v>0.27220617389649931</v>
      </c>
    </row>
    <row r="1139" spans="1:17" ht="15.95" customHeight="1" x14ac:dyDescent="0.25">
      <c r="A1139" s="121"/>
      <c r="B1139" s="23"/>
      <c r="C1139" s="59"/>
      <c r="D1139" s="62"/>
      <c r="E1139" s="36"/>
      <c r="F1139" s="483"/>
      <c r="G1139" s="484"/>
      <c r="H1139" s="51">
        <f>IF(DAY(H1138)=DAY($H$1133),IF(WEEKDAY(EDATE(H1138,$D$1145),3)&lt;5,EDATE(H1138,$D$1145),WORKDAY(EDATE(H1138,$D$1145),1)),IF(WEEKDAY(EDATE($H$1133,$D$1145*COUNT($H$1133:H1138)),3)&lt;5,EDATE($H$1133,$D$1145*COUNT($H$1133:H1138)),WORKDAY(EDATE($H$1133,$D$1145*COUNT($H$1133:H1138)),1)))</f>
        <v>43944</v>
      </c>
      <c r="I1139" s="71" t="s">
        <v>13</v>
      </c>
      <c r="J1139" s="52">
        <v>160153.74375000002</v>
      </c>
      <c r="K1139" s="52">
        <f t="shared" si="104"/>
        <v>233520</v>
      </c>
      <c r="L1139" s="53">
        <f t="shared" si="105"/>
        <v>1398880</v>
      </c>
      <c r="M1139" s="94">
        <f t="shared" si="106"/>
        <v>393673.74375000002</v>
      </c>
      <c r="N1139" s="25"/>
      <c r="O1139" s="197">
        <f>+M1250+O1138</f>
        <v>17148.003472222481</v>
      </c>
      <c r="P1139" s="197">
        <f>+(M1250/(1+$J$1256)^((H1250-$H$1248)/365))/$P$1137</f>
        <v>0.46266601562499998</v>
      </c>
      <c r="Q1139" s="197">
        <f>+P1139*((H1250-$H$1248)/365)</f>
        <v>0.46266601562499998</v>
      </c>
    </row>
    <row r="1140" spans="1:17" ht="15.95" customHeight="1" x14ac:dyDescent="0.25">
      <c r="A1140" s="121"/>
      <c r="B1140" s="23"/>
      <c r="C1140" s="59" t="s">
        <v>9</v>
      </c>
      <c r="D1140" s="98" t="s">
        <v>18</v>
      </c>
      <c r="E1140" s="36"/>
      <c r="F1140" s="483"/>
      <c r="G1140" s="484"/>
      <c r="H1140" s="51">
        <f>IF(DAY(H1139)=DAY($H$1133),IF(WEEKDAY(EDATE(H1139,$D$1145),3)&lt;5,EDATE(H1139,$D$1145),WORKDAY(EDATE(H1139,$D$1145),1)),IF(WEEKDAY(EDATE($H$1133,$D$1145*COUNT($H$1133:H1139)),3)&lt;5,EDATE($H$1133,$D$1145*COUNT($H$1133:H1139)),WORKDAY(EDATE($H$1133,$D$1145*COUNT($H$1133:H1139)),1)))</f>
        <v>44035</v>
      </c>
      <c r="I1140" s="71" t="s">
        <v>13</v>
      </c>
      <c r="J1140" s="52">
        <v>118899.94277777777</v>
      </c>
      <c r="K1140" s="52">
        <f t="shared" si="104"/>
        <v>233520</v>
      </c>
      <c r="L1140" s="53">
        <f t="shared" si="105"/>
        <v>1165360</v>
      </c>
      <c r="M1140" s="94">
        <f t="shared" si="106"/>
        <v>352419.94277777779</v>
      </c>
      <c r="N1140" s="25"/>
      <c r="O1140" s="197">
        <f>+M1251+O1139</f>
        <v>732395.39930555574</v>
      </c>
      <c r="P1140" s="197">
        <f>+(M1251/(1+$J$1256)^((H1251-$H$1248)/365))/$P$1137</f>
        <v>0.35762369791666665</v>
      </c>
      <c r="Q1140" s="197">
        <f>+P1140*((H1251-$H$1248)/365)</f>
        <v>0.53692544235159811</v>
      </c>
    </row>
    <row r="1141" spans="1:17" ht="15.95" customHeight="1" x14ac:dyDescent="0.25">
      <c r="A1141" s="121"/>
      <c r="B1141" s="23"/>
      <c r="C1141" s="59" t="s">
        <v>10</v>
      </c>
      <c r="D1141" s="65">
        <v>43391</v>
      </c>
      <c r="E1141" s="36"/>
      <c r="F1141" s="483"/>
      <c r="G1141" s="484"/>
      <c r="H1141" s="51">
        <f>IF(DAY(H1140)=DAY($H$1133),IF(WEEKDAY(EDATE(H1140,$D$1145),3)&lt;5,EDATE(H1140,$D$1145),WORKDAY(EDATE(H1140,$D$1145),1)),IF(WEEKDAY(EDATE($H$1133,$D$1145*COUNT($H$1133:H1140)),3)&lt;5,EDATE($H$1133,$D$1145*COUNT($H$1133:H1140)),WORKDAY(EDATE($H$1133,$D$1145*COUNT($H$1133:H1140)),1)))</f>
        <v>44127</v>
      </c>
      <c r="I1141" s="71" t="s">
        <v>13</v>
      </c>
      <c r="J1141" s="52">
        <v>100140.03222222222</v>
      </c>
      <c r="K1141" s="52">
        <f t="shared" si="104"/>
        <v>233520</v>
      </c>
      <c r="L1141" s="53">
        <f t="shared" si="105"/>
        <v>931840</v>
      </c>
      <c r="M1141" s="94">
        <f t="shared" si="106"/>
        <v>333660.03222222219</v>
      </c>
      <c r="N1141" s="25"/>
      <c r="O1141" s="197">
        <f>+M1252+O1140</f>
        <v>1316588.107638889</v>
      </c>
      <c r="P1141" s="197">
        <f>+(M1252/(1+$J$1256)^((H1252-$H$1248)/365))/$P$1137</f>
        <v>0.29209635416666668</v>
      </c>
      <c r="Q1141" s="197">
        <f>+P1141*((H1252-$H$1248)/365)</f>
        <v>0.5849929723173517</v>
      </c>
    </row>
    <row r="1142" spans="1:17" ht="15.95" customHeight="1" x14ac:dyDescent="0.25">
      <c r="A1142" s="121"/>
      <c r="B1142" s="23"/>
      <c r="C1142" s="59" t="s">
        <v>11</v>
      </c>
      <c r="D1142" s="65">
        <v>43396</v>
      </c>
      <c r="E1142" s="36"/>
      <c r="F1142" s="483"/>
      <c r="G1142" s="484"/>
      <c r="H1142" s="51">
        <f>IF(DAY(H1141)=DAY($H$1133),IF(WEEKDAY(EDATE(H1141,$D$1145),3)&lt;5,EDATE(H1141,$D$1145),WORKDAY(EDATE(H1141,$D$1145),1)),IF(WEEKDAY(EDATE($H$1133,$D$1145*COUNT($H$1133:H1141)),3)&lt;5,EDATE($H$1133,$D$1145*COUNT($H$1133:H1141)),WORKDAY(EDATE($H$1133,$D$1145*COUNT($H$1133:H1141)),1)))</f>
        <v>44221</v>
      </c>
      <c r="I1142" s="71" t="s">
        <v>13</v>
      </c>
      <c r="J1142" s="52">
        <v>81814.257777777777</v>
      </c>
      <c r="K1142" s="52">
        <f t="shared" si="104"/>
        <v>233520</v>
      </c>
      <c r="L1142" s="53">
        <f t="shared" si="105"/>
        <v>698320</v>
      </c>
      <c r="M1142" s="94">
        <f t="shared" si="106"/>
        <v>315334.25777777779</v>
      </c>
      <c r="N1142" s="25"/>
      <c r="O1142" s="197"/>
      <c r="P1142" s="197"/>
      <c r="Q1142" s="197"/>
    </row>
    <row r="1143" spans="1:17" ht="15.95" customHeight="1" x14ac:dyDescent="0.25">
      <c r="A1143" s="121"/>
      <c r="B1143" s="23"/>
      <c r="C1143" s="59" t="s">
        <v>12</v>
      </c>
      <c r="D1143" s="65">
        <v>44492</v>
      </c>
      <c r="E1143" s="36"/>
      <c r="F1143" s="483"/>
      <c r="G1143" s="484"/>
      <c r="H1143" s="51">
        <f>IF(DAY(H1142)=DAY($H$1133),IF(WEEKDAY(EDATE(H1142,$D$1145),3)&lt;5,EDATE(H1142,$D$1145),WORKDAY(EDATE(H1142,$D$1145),1)),IF(WEEKDAY(EDATE($H$1133,$D$1145*COUNT($H$1133:H1142)),3)&lt;5,EDATE($H$1133,$D$1145*COUNT($H$1133:H1142)),WORKDAY(EDATE($H$1133,$D$1145*COUNT($H$1133:H1142)),1)))</f>
        <v>44309</v>
      </c>
      <c r="I1143" s="71" t="s">
        <v>13</v>
      </c>
      <c r="J1143" s="52">
        <v>57398.024444444447</v>
      </c>
      <c r="K1143" s="52">
        <f t="shared" si="104"/>
        <v>233520</v>
      </c>
      <c r="L1143" s="53">
        <f t="shared" si="105"/>
        <v>464800</v>
      </c>
      <c r="M1143" s="94">
        <f t="shared" si="106"/>
        <v>290918.02444444445</v>
      </c>
      <c r="N1143" s="25"/>
      <c r="O1143" s="197"/>
      <c r="P1143" s="197"/>
      <c r="Q1143" s="197"/>
    </row>
    <row r="1144" spans="1:17" ht="15.95" customHeight="1" x14ac:dyDescent="0.25">
      <c r="A1144" s="121"/>
      <c r="B1144" s="23"/>
      <c r="C1144" s="59" t="s">
        <v>27</v>
      </c>
      <c r="D1144" s="66">
        <v>2800000</v>
      </c>
      <c r="E1144" s="41"/>
      <c r="F1144" s="480"/>
      <c r="G1144" s="484"/>
      <c r="H1144" s="51">
        <f>IF(DAY(H1143)=DAY($H$1133),IF(WEEKDAY(EDATE(H1143,$D$1145),3)&lt;5,EDATE(H1143,$D$1145),WORKDAY(EDATE(H1143,$D$1145),1)),IF(WEEKDAY(EDATE($H$1133,$D$1145*COUNT($H$1133:H1143)),3)&lt;5,EDATE($H$1133,$D$1145*COUNT($H$1133:H1143)),WORKDAY(EDATE($H$1133,$D$1145*COUNT($H$1133:H1143)),1)))</f>
        <v>44400</v>
      </c>
      <c r="I1144" s="71" t="s">
        <v>13</v>
      </c>
      <c r="J1144" s="52">
        <v>39506.386111111111</v>
      </c>
      <c r="K1144" s="52">
        <f>+IF(OR(I1144="A + C",I1144="A"),$D$1144*$D$1151,0)</f>
        <v>232400</v>
      </c>
      <c r="L1144" s="53">
        <f t="shared" si="105"/>
        <v>232400</v>
      </c>
      <c r="M1144" s="94">
        <f t="shared" si="106"/>
        <v>271906.38611111109</v>
      </c>
      <c r="N1144" s="25"/>
      <c r="O1144" s="197"/>
      <c r="P1144" s="29"/>
    </row>
    <row r="1145" spans="1:17" ht="15.95" customHeight="1" x14ac:dyDescent="0.25">
      <c r="A1145" s="121"/>
      <c r="B1145" s="23"/>
      <c r="C1145" s="59" t="s">
        <v>26</v>
      </c>
      <c r="D1145" s="66">
        <v>3</v>
      </c>
      <c r="E1145" s="36"/>
      <c r="F1145" s="480"/>
      <c r="G1145" s="484"/>
      <c r="H1145" s="51">
        <f>IF(DAY(H1144)=DAY($H$1133),IF(WEEKDAY(EDATE(H1144,$D$1145),3)&lt;5,EDATE(H1144,$D$1145),WORKDAY(EDATE(H1144,$D$1145),1)),IF(WEEKDAY(EDATE($H$1133,$D$1145*COUNT($H$1133:H1144)),3)&lt;5,EDATE($H$1133,$D$1145*COUNT($H$1133:H1144)),WORKDAY(EDATE($H$1133,$D$1145*COUNT($H$1133:H1144)),1)))</f>
        <v>44494</v>
      </c>
      <c r="I1145" s="71" t="s">
        <v>13</v>
      </c>
      <c r="J1145" s="52">
        <v>20404.397222222222</v>
      </c>
      <c r="K1145" s="52">
        <f>+IF(OR(I1145="A + C",I1145="A"),$D$1144*$D$1151,0)</f>
        <v>232400</v>
      </c>
      <c r="L1145" s="53">
        <f t="shared" si="105"/>
        <v>0</v>
      </c>
      <c r="M1145" s="94">
        <f t="shared" si="106"/>
        <v>252804.39722222224</v>
      </c>
      <c r="N1145" s="25"/>
      <c r="O1145" s="197"/>
      <c r="P1145" s="29"/>
    </row>
    <row r="1146" spans="1:17" ht="15.95" customHeight="1" x14ac:dyDescent="0.25">
      <c r="A1146" s="121"/>
      <c r="B1146" s="23"/>
      <c r="C1146" s="59" t="s">
        <v>19</v>
      </c>
      <c r="D1146" s="67" t="s">
        <v>20</v>
      </c>
      <c r="E1146" s="43"/>
      <c r="F1146" s="480"/>
      <c r="G1146" s="484"/>
      <c r="H1146" s="54"/>
      <c r="I1146" s="104"/>
      <c r="J1146" s="105"/>
      <c r="K1146" s="105"/>
      <c r="L1146" s="106"/>
      <c r="M1146" s="94"/>
      <c r="N1146" s="25"/>
      <c r="O1146" s="197"/>
      <c r="P1146" s="29"/>
    </row>
    <row r="1147" spans="1:17" ht="15.95" customHeight="1" x14ac:dyDescent="0.25">
      <c r="A1147" s="121"/>
      <c r="B1147" s="23"/>
      <c r="C1147" s="59" t="s">
        <v>14</v>
      </c>
      <c r="D1147" s="68">
        <v>7.4999999999999997E-2</v>
      </c>
      <c r="E1147" s="43"/>
      <c r="F1147" s="480"/>
      <c r="G1147" s="484"/>
      <c r="H1147" s="109"/>
      <c r="I1147" s="109"/>
      <c r="J1147" s="109"/>
      <c r="K1147" s="109"/>
      <c r="L1147" s="109"/>
      <c r="M1147" s="109"/>
      <c r="N1147" s="25"/>
      <c r="O1147" s="197"/>
    </row>
    <row r="1148" spans="1:17" ht="15.95" customHeight="1" x14ac:dyDescent="0.25">
      <c r="A1148" s="121"/>
      <c r="B1148" s="23"/>
      <c r="C1148" s="59" t="s">
        <v>31</v>
      </c>
      <c r="D1148" s="68"/>
      <c r="E1148" s="43"/>
      <c r="F1148" s="480"/>
      <c r="G1148" s="484"/>
      <c r="H1148" s="656" t="s">
        <v>43</v>
      </c>
      <c r="I1148" s="656"/>
      <c r="J1148" s="92">
        <v>0</v>
      </c>
      <c r="K1148" s="92"/>
      <c r="L1148" s="24"/>
      <c r="M1148" s="24"/>
      <c r="N1148" s="25"/>
      <c r="O1148" s="197"/>
      <c r="P1148" s="37"/>
    </row>
    <row r="1149" spans="1:17" ht="15.95" customHeight="1" x14ac:dyDescent="0.25">
      <c r="A1149" s="121"/>
      <c r="B1149" s="23"/>
      <c r="C1149" s="59" t="s">
        <v>32</v>
      </c>
      <c r="D1149" s="68"/>
      <c r="E1149" s="44"/>
      <c r="F1149" s="480"/>
      <c r="G1149" s="484"/>
      <c r="H1149" s="657"/>
      <c r="I1149" s="657"/>
      <c r="J1149" s="392"/>
      <c r="K1149" s="24"/>
      <c r="L1149" s="33"/>
      <c r="M1149" s="33"/>
      <c r="N1149" s="25"/>
      <c r="O1149" s="197"/>
    </row>
    <row r="1150" spans="1:17" ht="15.95" customHeight="1" x14ac:dyDescent="0.25">
      <c r="A1150" s="121"/>
      <c r="B1150" s="23"/>
      <c r="C1150" s="59" t="s">
        <v>80</v>
      </c>
      <c r="D1150" s="68">
        <v>8.3400000000000002E-2</v>
      </c>
      <c r="E1150" s="24"/>
      <c r="F1150" s="480"/>
      <c r="G1150" s="484"/>
      <c r="H1150" s="24"/>
      <c r="I1150" s="24"/>
      <c r="J1150" s="24"/>
      <c r="K1150" s="24"/>
      <c r="L1150" s="24"/>
      <c r="M1150" s="24"/>
      <c r="N1150" s="25"/>
      <c r="O1150" s="195"/>
    </row>
    <row r="1151" spans="1:17" ht="15.95" customHeight="1" x14ac:dyDescent="0.25">
      <c r="A1151" s="121"/>
      <c r="B1151" s="23"/>
      <c r="C1151" s="59" t="s">
        <v>81</v>
      </c>
      <c r="D1151" s="68">
        <v>8.3000000000000004E-2</v>
      </c>
      <c r="E1151" s="24"/>
      <c r="F1151" s="480"/>
      <c r="G1151" s="484"/>
      <c r="H1151" s="638" t="s">
        <v>44</v>
      </c>
      <c r="I1151" s="639"/>
      <c r="J1151" s="639"/>
      <c r="K1151" s="639"/>
      <c r="L1151" s="639"/>
      <c r="M1151" s="640"/>
      <c r="N1151" s="25"/>
      <c r="O1151" s="195"/>
    </row>
    <row r="1152" spans="1:17" ht="15.95" customHeight="1" x14ac:dyDescent="0.25">
      <c r="A1152" s="121"/>
      <c r="B1152" s="23"/>
      <c r="C1152" s="60"/>
      <c r="D1152" s="110"/>
      <c r="E1152" s="24"/>
      <c r="F1152" s="480"/>
      <c r="G1152" s="484"/>
      <c r="H1152" s="23"/>
      <c r="I1152" s="24"/>
      <c r="J1152" s="24"/>
      <c r="K1152" s="24"/>
      <c r="L1152" s="24"/>
      <c r="M1152" s="25"/>
      <c r="N1152" s="25"/>
      <c r="O1152" s="195"/>
    </row>
    <row r="1153" spans="1:15" ht="15.95" customHeight="1" x14ac:dyDescent="0.25">
      <c r="A1153" s="121"/>
      <c r="B1153" s="23"/>
      <c r="C1153" s="24"/>
      <c r="D1153" s="24"/>
      <c r="E1153" s="24"/>
      <c r="F1153" s="480"/>
      <c r="G1153" s="485"/>
      <c r="H1153" s="23"/>
      <c r="I1153" s="24"/>
      <c r="J1153" s="24"/>
      <c r="K1153" s="24"/>
      <c r="L1153" s="24"/>
      <c r="M1153" s="25"/>
      <c r="N1153" s="25"/>
      <c r="O1153" s="195"/>
    </row>
    <row r="1154" spans="1:15" ht="15.95" customHeight="1" x14ac:dyDescent="0.25">
      <c r="A1154" s="121"/>
      <c r="B1154" s="23"/>
      <c r="C1154" s="24"/>
      <c r="D1154" s="24"/>
      <c r="E1154" s="24"/>
      <c r="F1154" s="480"/>
      <c r="G1154" s="485"/>
      <c r="H1154" s="96"/>
      <c r="I1154" s="35"/>
      <c r="J1154" s="24"/>
      <c r="K1154" s="24"/>
      <c r="L1154" s="24"/>
      <c r="M1154" s="25"/>
      <c r="N1154" s="25"/>
      <c r="O1154" s="195"/>
    </row>
    <row r="1155" spans="1:15" ht="15.95" customHeight="1" x14ac:dyDescent="0.25">
      <c r="A1155" s="121"/>
      <c r="B1155" s="23"/>
      <c r="C1155" s="24"/>
      <c r="D1155" s="24"/>
      <c r="E1155" s="24"/>
      <c r="F1155" s="480"/>
      <c r="G1155" s="485"/>
      <c r="H1155" s="23"/>
      <c r="I1155" s="24"/>
      <c r="J1155" s="24"/>
      <c r="K1155" s="24"/>
      <c r="L1155" s="24"/>
      <c r="M1155" s="25"/>
      <c r="N1155" s="25"/>
      <c r="O1155" s="195"/>
    </row>
    <row r="1156" spans="1:15" ht="15.95" customHeight="1" x14ac:dyDescent="0.25">
      <c r="A1156" s="121"/>
      <c r="B1156" s="23"/>
      <c r="C1156" s="24"/>
      <c r="D1156" s="24"/>
      <c r="E1156" s="24"/>
      <c r="F1156" s="480"/>
      <c r="G1156" s="485"/>
      <c r="H1156" s="23"/>
      <c r="I1156" s="24"/>
      <c r="J1156" s="24"/>
      <c r="K1156" s="24"/>
      <c r="L1156" s="24"/>
      <c r="M1156" s="25"/>
      <c r="N1156" s="25"/>
      <c r="O1156" s="195"/>
    </row>
    <row r="1157" spans="1:15" ht="15.95" customHeight="1" x14ac:dyDescent="0.25">
      <c r="A1157" s="121"/>
      <c r="B1157" s="23"/>
      <c r="C1157" s="24"/>
      <c r="D1157" s="24"/>
      <c r="E1157" s="24"/>
      <c r="F1157" s="480"/>
      <c r="G1157" s="485"/>
      <c r="H1157" s="23"/>
      <c r="I1157" s="24"/>
      <c r="J1157" s="24"/>
      <c r="K1157" s="24"/>
      <c r="L1157" s="24"/>
      <c r="M1157" s="25"/>
      <c r="N1157" s="25"/>
      <c r="O1157" s="195"/>
    </row>
    <row r="1158" spans="1:15" ht="15.95" customHeight="1" x14ac:dyDescent="0.25">
      <c r="A1158" s="121"/>
      <c r="B1158" s="23"/>
      <c r="C1158" s="24"/>
      <c r="D1158" s="24"/>
      <c r="E1158" s="24"/>
      <c r="F1158" s="480"/>
      <c r="G1158" s="485"/>
      <c r="H1158" s="23"/>
      <c r="I1158" s="24"/>
      <c r="J1158" s="24"/>
      <c r="K1158" s="24"/>
      <c r="L1158" s="24"/>
      <c r="M1158" s="25"/>
      <c r="N1158" s="25"/>
      <c r="O1158" s="195"/>
    </row>
    <row r="1159" spans="1:15" ht="15.95" customHeight="1" x14ac:dyDescent="0.25">
      <c r="A1159" s="121"/>
      <c r="B1159" s="23"/>
      <c r="C1159" s="24"/>
      <c r="D1159" s="24"/>
      <c r="E1159" s="24"/>
      <c r="F1159" s="480"/>
      <c r="G1159" s="485"/>
      <c r="H1159" s="23"/>
      <c r="I1159" s="24"/>
      <c r="J1159" s="24"/>
      <c r="K1159" s="24"/>
      <c r="L1159" s="24"/>
      <c r="M1159" s="25"/>
      <c r="N1159" s="25"/>
      <c r="O1159" s="195"/>
    </row>
    <row r="1160" spans="1:15" ht="15.95" customHeight="1" x14ac:dyDescent="0.25">
      <c r="A1160" s="121"/>
      <c r="B1160" s="23"/>
      <c r="C1160" s="24"/>
      <c r="D1160" s="24"/>
      <c r="E1160" s="24"/>
      <c r="F1160" s="480"/>
      <c r="G1160" s="485"/>
      <c r="H1160" s="23"/>
      <c r="I1160" s="24"/>
      <c r="J1160" s="24"/>
      <c r="K1160" s="24"/>
      <c r="L1160" s="24"/>
      <c r="M1160" s="25"/>
      <c r="N1160" s="25"/>
      <c r="O1160" s="195"/>
    </row>
    <row r="1161" spans="1:15" ht="15.95" customHeight="1" x14ac:dyDescent="0.25">
      <c r="A1161" s="121"/>
      <c r="B1161" s="23"/>
      <c r="C1161" s="24"/>
      <c r="D1161" s="24"/>
      <c r="E1161" s="24"/>
      <c r="F1161" s="480"/>
      <c r="G1161" s="485"/>
      <c r="H1161" s="23"/>
      <c r="I1161" s="24"/>
      <c r="J1161" s="24"/>
      <c r="K1161" s="24"/>
      <c r="L1161" s="24"/>
      <c r="M1161" s="25"/>
      <c r="N1161" s="25"/>
      <c r="O1161" s="195"/>
    </row>
    <row r="1162" spans="1:15" ht="15.95" customHeight="1" x14ac:dyDescent="0.25">
      <c r="A1162" s="121"/>
      <c r="B1162" s="23"/>
      <c r="C1162" s="24"/>
      <c r="D1162" s="24"/>
      <c r="E1162" s="24"/>
      <c r="F1162" s="480"/>
      <c r="G1162" s="485"/>
      <c r="H1162" s="23"/>
      <c r="I1162" s="24"/>
      <c r="J1162" s="24"/>
      <c r="K1162" s="24"/>
      <c r="L1162" s="24"/>
      <c r="M1162" s="25"/>
      <c r="N1162" s="25"/>
      <c r="O1162" s="195"/>
    </row>
    <row r="1163" spans="1:15" s="24" customFormat="1" ht="15.95" customHeight="1" x14ac:dyDescent="0.25">
      <c r="A1163" s="121"/>
      <c r="B1163" s="23"/>
      <c r="F1163" s="480"/>
      <c r="G1163" s="485"/>
      <c r="H1163" s="23"/>
      <c r="M1163" s="25"/>
      <c r="N1163" s="25"/>
      <c r="O1163" s="403"/>
    </row>
    <row r="1164" spans="1:15" ht="15.95" customHeight="1" x14ac:dyDescent="0.25">
      <c r="A1164" s="121"/>
      <c r="B1164" s="23"/>
      <c r="C1164" s="24"/>
      <c r="D1164" s="24"/>
      <c r="E1164" s="24"/>
      <c r="F1164" s="480"/>
      <c r="G1164" s="485"/>
      <c r="H1164" s="26"/>
      <c r="I1164" s="27"/>
      <c r="J1164" s="27"/>
      <c r="K1164" s="27"/>
      <c r="L1164" s="27"/>
      <c r="M1164" s="28"/>
      <c r="N1164" s="25"/>
      <c r="O1164" s="195"/>
    </row>
    <row r="1165" spans="1:15" ht="15.95" customHeight="1" x14ac:dyDescent="0.25">
      <c r="A1165" s="121"/>
      <c r="B1165" s="26"/>
      <c r="C1165" s="27"/>
      <c r="D1165" s="27"/>
      <c r="E1165" s="27"/>
      <c r="F1165" s="481"/>
      <c r="G1165" s="486"/>
      <c r="H1165" s="27"/>
      <c r="I1165" s="27"/>
      <c r="J1165" s="27"/>
      <c r="K1165" s="27"/>
      <c r="L1165" s="27"/>
      <c r="M1165" s="27"/>
      <c r="N1165" s="28"/>
      <c r="O1165" s="195"/>
    </row>
    <row r="1166" spans="1:15" ht="15.95" customHeight="1" x14ac:dyDescent="0.25">
      <c r="A1166" s="121"/>
      <c r="B1166" s="23"/>
      <c r="C1166" s="24"/>
      <c r="D1166" s="24"/>
      <c r="E1166" s="24"/>
      <c r="F1166" s="480"/>
      <c r="G1166" s="480"/>
      <c r="H1166" s="24"/>
      <c r="I1166" s="24"/>
      <c r="J1166" s="24"/>
      <c r="K1166" s="24"/>
      <c r="L1166" s="24"/>
      <c r="M1166" s="24"/>
      <c r="N1166" s="25"/>
      <c r="O1166" s="194" t="str">
        <f>+D1279</f>
        <v>ON Pyme CNV Garantizada</v>
      </c>
    </row>
    <row r="1167" spans="1:15" ht="15.95" customHeight="1" x14ac:dyDescent="0.25">
      <c r="A1167" s="121"/>
      <c r="B1167" s="661" t="s">
        <v>153</v>
      </c>
      <c r="C1167" s="662"/>
      <c r="D1167" s="662"/>
      <c r="E1167" s="662"/>
      <c r="F1167" s="662"/>
      <c r="G1167" s="662"/>
      <c r="H1167" s="662"/>
      <c r="I1167" s="662"/>
      <c r="J1167" s="662"/>
      <c r="K1167" s="662"/>
      <c r="L1167" s="662"/>
      <c r="M1167" s="662"/>
      <c r="N1167" s="663"/>
      <c r="O1167" s="195"/>
    </row>
    <row r="1168" spans="1:15" ht="15.95" customHeight="1" x14ac:dyDescent="0.25">
      <c r="A1168" s="121"/>
      <c r="B1168" s="23"/>
      <c r="C1168" s="24"/>
      <c r="D1168" s="24"/>
      <c r="E1168" s="24"/>
      <c r="F1168" s="483"/>
      <c r="G1168" s="484"/>
      <c r="H1168" s="31"/>
      <c r="I1168" s="31"/>
      <c r="J1168" s="24"/>
      <c r="K1168" s="24"/>
      <c r="L1168" s="24"/>
      <c r="M1168" s="24"/>
      <c r="N1168" s="25"/>
      <c r="O1168" s="194" t="str">
        <f>+IF(J1277="vencida",IF(D1279='Reporte - Oscuro'!$C$40,'Reporte - Oscuro'!$C$40&amp;" vencida",IF(D1279='Reporte - Oscuro'!$C$41,'Reporte - Oscuro'!$C$41&amp;" vencida",IF(D1279='Reporte - Oscuro'!$C$42,'Reporte - Oscuro'!$C$42&amp;" vencida",'Reporte - Oscuro'!$C$43&amp;" vencida"))),D1279&amp;" vigente")</f>
        <v>ON Pyme CNV Garantizada vencida</v>
      </c>
    </row>
    <row r="1169" spans="1:15" ht="15.95" customHeight="1" x14ac:dyDescent="0.25">
      <c r="A1169" s="121"/>
      <c r="B1169" s="23"/>
      <c r="C1169" s="638" t="s">
        <v>37</v>
      </c>
      <c r="D1169" s="639"/>
      <c r="E1169" s="640"/>
      <c r="F1169" s="483"/>
      <c r="G1169" s="484"/>
      <c r="H1169" s="641" t="s">
        <v>28</v>
      </c>
      <c r="I1169" s="642"/>
      <c r="J1169" s="39">
        <f>+$D$1187-SUMIF($H$1175:$H$1180,"&lt;"&amp;$M$4,$K$1175:$K$1180)</f>
        <v>0</v>
      </c>
      <c r="K1169" s="24"/>
      <c r="L1169" s="24"/>
      <c r="M1169" s="24"/>
      <c r="N1169" s="25"/>
      <c r="O1169" s="195"/>
    </row>
    <row r="1170" spans="1:15" ht="15.95" customHeight="1" x14ac:dyDescent="0.25">
      <c r="A1170" s="121"/>
      <c r="B1170" s="23"/>
      <c r="C1170" s="58"/>
      <c r="D1170" s="664"/>
      <c r="E1170" s="665"/>
      <c r="F1170" s="483"/>
      <c r="G1170" s="484"/>
      <c r="H1170" s="645" t="s">
        <v>29</v>
      </c>
      <c r="I1170" s="646"/>
      <c r="J1170" s="40">
        <f>+$D$1186</f>
        <v>44414</v>
      </c>
      <c r="K1170" s="24"/>
      <c r="L1170" s="24"/>
      <c r="M1170" s="24"/>
      <c r="N1170" s="25"/>
      <c r="O1170" s="195"/>
    </row>
    <row r="1171" spans="1:15" ht="15.95" customHeight="1" x14ac:dyDescent="0.25">
      <c r="A1171" s="121"/>
      <c r="B1171" s="23"/>
      <c r="C1171" s="59" t="s">
        <v>25</v>
      </c>
      <c r="D1171" s="658"/>
      <c r="E1171" s="659"/>
      <c r="F1171" s="483"/>
      <c r="G1171" s="484"/>
      <c r="H1171" s="649" t="s">
        <v>30</v>
      </c>
      <c r="I1171" s="650"/>
      <c r="J1171" s="42" t="str">
        <f t="array" ref="J1171">+IF(H1180&gt;=M4,MIN(IF(H1175:H1181&gt;=$M$4,H1175:H1181,"")),"vencida")</f>
        <v>vencida</v>
      </c>
      <c r="K1171" s="24"/>
      <c r="L1171" s="24"/>
      <c r="M1171" s="24"/>
      <c r="N1171" s="25"/>
      <c r="O1171" s="195"/>
    </row>
    <row r="1172" spans="1:15" ht="15.95" customHeight="1" x14ac:dyDescent="0.25">
      <c r="A1172" s="121"/>
      <c r="B1172" s="23"/>
      <c r="C1172" s="59" t="s">
        <v>6</v>
      </c>
      <c r="D1172" s="658" t="s">
        <v>155</v>
      </c>
      <c r="E1172" s="659"/>
      <c r="F1172" s="483"/>
      <c r="G1172" s="484"/>
      <c r="H1172" s="24"/>
      <c r="I1172" s="24"/>
      <c r="J1172" s="24"/>
      <c r="K1172" s="24"/>
      <c r="L1172" s="24"/>
      <c r="M1172" s="24"/>
      <c r="N1172" s="25"/>
      <c r="O1172" s="195"/>
    </row>
    <row r="1173" spans="1:15" ht="15.95" customHeight="1" x14ac:dyDescent="0.25">
      <c r="A1173" s="121"/>
      <c r="B1173" s="23"/>
      <c r="C1173" s="59" t="s">
        <v>8</v>
      </c>
      <c r="D1173" s="658" t="s">
        <v>17</v>
      </c>
      <c r="E1173" s="659"/>
      <c r="F1173" s="483"/>
      <c r="G1173" s="484"/>
      <c r="H1173" s="651" t="s">
        <v>41</v>
      </c>
      <c r="I1173" s="652"/>
      <c r="J1173" s="652"/>
      <c r="K1173" s="652"/>
      <c r="L1173" s="653"/>
      <c r="M1173" s="24"/>
      <c r="N1173" s="25"/>
      <c r="O1173" s="197">
        <f>+M1282</f>
        <v>-50000000</v>
      </c>
    </row>
    <row r="1174" spans="1:15" ht="15.95" customHeight="1" x14ac:dyDescent="0.25">
      <c r="A1174" s="121"/>
      <c r="B1174" s="23"/>
      <c r="C1174" s="59" t="s">
        <v>33</v>
      </c>
      <c r="D1174" s="73" t="s">
        <v>325</v>
      </c>
      <c r="E1174" s="273">
        <v>1</v>
      </c>
      <c r="F1174" s="483">
        <f>+E1174*J1169</f>
        <v>0</v>
      </c>
      <c r="G1174" s="484"/>
      <c r="H1174" s="81" t="s">
        <v>0</v>
      </c>
      <c r="I1174" s="82" t="s">
        <v>2</v>
      </c>
      <c r="J1174" s="82" t="s">
        <v>3</v>
      </c>
      <c r="K1174" s="82" t="s">
        <v>4</v>
      </c>
      <c r="L1174" s="83" t="s">
        <v>5</v>
      </c>
      <c r="M1174" s="82" t="s">
        <v>44</v>
      </c>
      <c r="N1174" s="25"/>
      <c r="O1174" s="197">
        <f>+O1173+M1283</f>
        <v>-28016438.356164381</v>
      </c>
    </row>
    <row r="1175" spans="1:15" ht="15.95" customHeight="1" x14ac:dyDescent="0.25">
      <c r="A1175" s="121"/>
      <c r="B1175" s="23"/>
      <c r="C1175" s="59" t="s">
        <v>34</v>
      </c>
      <c r="D1175" s="658" t="s">
        <v>48</v>
      </c>
      <c r="E1175" s="659"/>
      <c r="F1175" s="483"/>
      <c r="G1175" s="484"/>
      <c r="H1175" s="45"/>
      <c r="I1175" s="46"/>
      <c r="J1175" s="46"/>
      <c r="K1175" s="46"/>
      <c r="L1175" s="47"/>
      <c r="M1175" s="23"/>
      <c r="N1175" s="25"/>
      <c r="O1175" s="197">
        <f>+O1174+M1284</f>
        <v>-8519734.5890410952</v>
      </c>
    </row>
    <row r="1176" spans="1:15" ht="15.95" customHeight="1" x14ac:dyDescent="0.25">
      <c r="A1176" s="121"/>
      <c r="B1176" s="23"/>
      <c r="C1176" s="79" t="s">
        <v>38</v>
      </c>
      <c r="D1176" s="75"/>
      <c r="E1176" s="76"/>
      <c r="F1176" s="483"/>
      <c r="G1176" s="484"/>
      <c r="H1176" s="48">
        <f>+$D$1185</f>
        <v>43683</v>
      </c>
      <c r="I1176" s="70"/>
      <c r="J1176" s="49"/>
      <c r="K1176" s="49"/>
      <c r="L1176" s="50">
        <f>+D1187</f>
        <v>15000000</v>
      </c>
      <c r="M1176" s="93">
        <f>-L1176</f>
        <v>-15000000</v>
      </c>
      <c r="N1176" s="25"/>
      <c r="O1176" s="197">
        <f>+O1175+M1285</f>
        <v>8722046.2328767143</v>
      </c>
    </row>
    <row r="1177" spans="1:15" ht="15.95" customHeight="1" x14ac:dyDescent="0.25">
      <c r="A1177" s="121"/>
      <c r="B1177" s="23"/>
      <c r="C1177" s="59"/>
      <c r="D1177" s="73"/>
      <c r="E1177" s="74"/>
      <c r="F1177" s="483"/>
      <c r="G1177" s="484"/>
      <c r="H1177" s="51">
        <f>IF(DAY(H1176)=DAY($H$1176),IF(WEEKDAY(EDATE(H1176,$D$1188),3)&lt;5,EDATE(H1176,$D$1188),WORKDAY(EDATE(H1176,$D$1188),1)),IF(WEEKDAY(EDATE($H$1176,$D$1188*COUNT($H$1176:H1176)),3)&lt;5,EDATE($H$1176,$D$1188*COUNT($H$1176:H1176)),WORKDAY(EDATE($H$1176,$D$1188*COUNT($H$1176:H1176)),1)))</f>
        <v>43867</v>
      </c>
      <c r="I1177" s="71" t="s">
        <v>13</v>
      </c>
      <c r="J1177" s="52">
        <v>3828541.6666666665</v>
      </c>
      <c r="K1177" s="52">
        <f>+IF(OR(I1177="A + C",I1177="A"),$D$1187*$D$1193,0)</f>
        <v>3750000</v>
      </c>
      <c r="L1177" s="53">
        <f>+L1176-K1177</f>
        <v>11250000</v>
      </c>
      <c r="M1177" s="94">
        <f>+J1177+K1177</f>
        <v>7578541.666666666</v>
      </c>
      <c r="N1177" s="25"/>
      <c r="O1177" s="197">
        <f>+O1176+M1286</f>
        <v>23567166.095890414</v>
      </c>
    </row>
    <row r="1178" spans="1:15" ht="15.95" customHeight="1" x14ac:dyDescent="0.25">
      <c r="A1178" s="121"/>
      <c r="B1178" s="23"/>
      <c r="C1178" s="60"/>
      <c r="D1178" s="77"/>
      <c r="E1178" s="78"/>
      <c r="F1178" s="483"/>
      <c r="G1178" s="484"/>
      <c r="H1178" s="51">
        <f>IF(DAY(H1177)=DAY($H$1176),IF(WEEKDAY(EDATE(H1177,$D$1188),3)&lt;5,EDATE(H1177,$D$1188),WORKDAY(EDATE(H1177,$D$1188),1)),IF(WEEKDAY(EDATE($H$1176,$D$1188*COUNT($H$1176:H1177)),3)&lt;5,EDATE($H$1176,$D$1188*COUNT($H$1176:H1177)),WORKDAY(EDATE($H$1176,$D$1188*COUNT($H$1176:H1177)),1)))</f>
        <v>44049</v>
      </c>
      <c r="I1178" s="71" t="s">
        <v>13</v>
      </c>
      <c r="J1178" s="52">
        <v>2179023.4375</v>
      </c>
      <c r="K1178" s="52">
        <f>+IF(OR(I1178="A + C",I1178="A"),$D$1187*$D$1193,0)</f>
        <v>3750000</v>
      </c>
      <c r="L1178" s="53">
        <f>+L1177-K1178</f>
        <v>7500000</v>
      </c>
      <c r="M1178" s="94">
        <f>+J1178+K1178</f>
        <v>5929023.4375</v>
      </c>
      <c r="N1178" s="25"/>
      <c r="O1178" s="195"/>
    </row>
    <row r="1179" spans="1:15" ht="15.95" customHeight="1" x14ac:dyDescent="0.25">
      <c r="A1179" s="121"/>
      <c r="B1179" s="23"/>
      <c r="C1179" s="60"/>
      <c r="D1179" s="55" t="str">
        <f>+B1167</f>
        <v>Esta Por Venir I</v>
      </c>
      <c r="E1179" s="64"/>
      <c r="F1179" s="483"/>
      <c r="G1179" s="484">
        <f>+J1169</f>
        <v>0</v>
      </c>
      <c r="H1179" s="51">
        <f>IF(DAY(H1178)=DAY($H$1176),IF(WEEKDAY(EDATE(H1178,$D$1188),3)&lt;5,EDATE(H1178,$D$1188),WORKDAY(EDATE(H1178,$D$1188),1)),IF(WEEKDAY(EDATE($H$1176,$D$1188*COUNT($H$1176:H1178)),3)&lt;5,EDATE($H$1176,$D$1188*COUNT($H$1176:H1178)),WORKDAY(EDATE($H$1176,$D$1188*COUNT($H$1176:H1178)),1)))</f>
        <v>44235</v>
      </c>
      <c r="I1179" s="71" t="s">
        <v>13</v>
      </c>
      <c r="J1179" s="52">
        <v>1322343.75</v>
      </c>
      <c r="K1179" s="52">
        <f>+IF(OR(I1179="A + C",I1179="A"),$D$1187*$D$1193,0)</f>
        <v>3750000</v>
      </c>
      <c r="L1179" s="53">
        <f>+L1178-K1179</f>
        <v>3750000</v>
      </c>
      <c r="M1179" s="94">
        <f>+J1179+K1179</f>
        <v>5072343.75</v>
      </c>
      <c r="N1179" s="25"/>
      <c r="O1179" s="195"/>
    </row>
    <row r="1180" spans="1:15" ht="15.95" customHeight="1" x14ac:dyDescent="0.25">
      <c r="A1180" s="121"/>
      <c r="B1180" s="32"/>
      <c r="D1180" s="644"/>
      <c r="E1180" s="660"/>
      <c r="F1180" s="483"/>
      <c r="G1180" s="484"/>
      <c r="H1180" s="51">
        <f>IF(DAY(H1179)=DAY($H$1176),IF(WEEKDAY(EDATE(H1179,$D$1188),3)&lt;5,EDATE(H1179,$D$1188),WORKDAY(EDATE(H1179,$D$1188),1)),IF(WEEKDAY(EDATE($H$1176,$D$1188*COUNT($H$1176:H1179)),3)&lt;5,EDATE($H$1176,$D$1188*COUNT($H$1176:H1179)),WORKDAY(EDATE($H$1176,$D$1188*COUNT($H$1176:H1179)),1)))</f>
        <v>44414</v>
      </c>
      <c r="I1180" s="71" t="s">
        <v>13</v>
      </c>
      <c r="J1180" s="52">
        <v>636289.0625</v>
      </c>
      <c r="K1180" s="52">
        <f>+IF(OR(I1180="A + C",I1180="A"),$D$1187*$D$1193,0)</f>
        <v>3750000</v>
      </c>
      <c r="L1180" s="53">
        <f>+L1179-K1180</f>
        <v>0</v>
      </c>
      <c r="M1180" s="94">
        <f>+J1180+K1180</f>
        <v>4386289.0625</v>
      </c>
      <c r="N1180" s="25"/>
      <c r="O1180" s="195"/>
    </row>
    <row r="1181" spans="1:15" ht="15.95" customHeight="1" x14ac:dyDescent="0.25">
      <c r="A1181" s="121"/>
      <c r="B1181" s="23"/>
      <c r="C1181" s="638" t="s">
        <v>36</v>
      </c>
      <c r="D1181" s="640"/>
      <c r="E1181" s="36"/>
      <c r="F1181" s="483"/>
      <c r="G1181" s="484"/>
      <c r="H1181" s="54"/>
      <c r="I1181" s="104"/>
      <c r="J1181" s="105"/>
      <c r="K1181" s="105"/>
      <c r="L1181" s="106"/>
      <c r="M1181" s="94"/>
      <c r="N1181" s="25"/>
      <c r="O1181" s="195"/>
    </row>
    <row r="1182" spans="1:15" ht="15.95" customHeight="1" x14ac:dyDescent="0.25">
      <c r="A1182" s="121"/>
      <c r="B1182" s="23"/>
      <c r="C1182" s="59"/>
      <c r="D1182" s="62"/>
      <c r="E1182" s="36"/>
      <c r="F1182" s="483"/>
      <c r="G1182" s="484"/>
      <c r="H1182" s="109"/>
      <c r="I1182" s="109"/>
      <c r="J1182" s="109"/>
      <c r="K1182" s="109"/>
      <c r="L1182" s="109"/>
      <c r="M1182" s="109"/>
      <c r="N1182" s="25"/>
      <c r="O1182" s="195"/>
    </row>
    <row r="1183" spans="1:15" ht="15.95" customHeight="1" x14ac:dyDescent="0.25">
      <c r="A1183" s="121"/>
      <c r="B1183" s="23"/>
      <c r="C1183" s="59" t="s">
        <v>9</v>
      </c>
      <c r="D1183" s="98" t="s">
        <v>18</v>
      </c>
      <c r="E1183" s="36"/>
      <c r="F1183" s="483"/>
      <c r="G1183" s="484"/>
      <c r="H1183" s="656" t="s">
        <v>43</v>
      </c>
      <c r="I1183" s="656"/>
      <c r="J1183" s="92">
        <v>0</v>
      </c>
      <c r="K1183" s="92"/>
      <c r="L1183" s="24"/>
      <c r="M1183" s="24"/>
      <c r="N1183" s="25"/>
      <c r="O1183" s="195"/>
    </row>
    <row r="1184" spans="1:15" ht="15.95" customHeight="1" x14ac:dyDescent="0.25">
      <c r="A1184" s="121"/>
      <c r="B1184" s="23"/>
      <c r="C1184" s="59" t="s">
        <v>10</v>
      </c>
      <c r="D1184" s="65">
        <v>43678</v>
      </c>
      <c r="E1184" s="36"/>
      <c r="F1184" s="483"/>
      <c r="G1184" s="484"/>
      <c r="H1184" s="657"/>
      <c r="I1184" s="657"/>
      <c r="J1184" s="392"/>
      <c r="K1184" s="24"/>
      <c r="L1184" s="33"/>
      <c r="M1184" s="33"/>
      <c r="N1184" s="25"/>
      <c r="O1184" s="195"/>
    </row>
    <row r="1185" spans="1:15" ht="15.95" customHeight="1" x14ac:dyDescent="0.25">
      <c r="A1185" s="121"/>
      <c r="B1185" s="23"/>
      <c r="C1185" s="59" t="s">
        <v>11</v>
      </c>
      <c r="D1185" s="65">
        <v>43683</v>
      </c>
      <c r="E1185" s="36"/>
      <c r="F1185" s="483"/>
      <c r="G1185" s="484"/>
      <c r="H1185" s="24"/>
      <c r="I1185" s="24"/>
      <c r="J1185" s="24"/>
      <c r="K1185" s="24"/>
      <c r="L1185" s="24"/>
      <c r="M1185" s="24"/>
      <c r="N1185" s="25"/>
      <c r="O1185" s="195"/>
    </row>
    <row r="1186" spans="1:15" ht="15.95" customHeight="1" x14ac:dyDescent="0.25">
      <c r="A1186" s="121"/>
      <c r="B1186" s="23"/>
      <c r="C1186" s="59" t="s">
        <v>12</v>
      </c>
      <c r="D1186" s="65">
        <v>44414</v>
      </c>
      <c r="E1186" s="36"/>
      <c r="F1186" s="483"/>
      <c r="G1186" s="484"/>
      <c r="H1186" s="638" t="s">
        <v>44</v>
      </c>
      <c r="I1186" s="639"/>
      <c r="J1186" s="639"/>
      <c r="K1186" s="639"/>
      <c r="L1186" s="639"/>
      <c r="M1186" s="640"/>
      <c r="N1186" s="25"/>
      <c r="O1186" s="195"/>
    </row>
    <row r="1187" spans="1:15" ht="15.95" customHeight="1" x14ac:dyDescent="0.25">
      <c r="A1187" s="121"/>
      <c r="B1187" s="23"/>
      <c r="C1187" s="59" t="s">
        <v>27</v>
      </c>
      <c r="D1187" s="66">
        <v>15000000</v>
      </c>
      <c r="E1187" s="41"/>
      <c r="F1187" s="480"/>
      <c r="G1187" s="484"/>
      <c r="H1187" s="23"/>
      <c r="I1187" s="24"/>
      <c r="J1187" s="24"/>
      <c r="K1187" s="24"/>
      <c r="L1187" s="24"/>
      <c r="M1187" s="25"/>
      <c r="N1187" s="25"/>
      <c r="O1187" s="195"/>
    </row>
    <row r="1188" spans="1:15" ht="15.95" customHeight="1" x14ac:dyDescent="0.25">
      <c r="A1188" s="121"/>
      <c r="B1188" s="23"/>
      <c r="C1188" s="59" t="s">
        <v>26</v>
      </c>
      <c r="D1188" s="66">
        <v>6</v>
      </c>
      <c r="E1188" s="36"/>
      <c r="F1188" s="480"/>
      <c r="G1188" s="484"/>
      <c r="H1188" s="23"/>
      <c r="I1188" s="24"/>
      <c r="J1188" s="24"/>
      <c r="K1188" s="24"/>
      <c r="L1188" s="24"/>
      <c r="M1188" s="25"/>
      <c r="N1188" s="25"/>
      <c r="O1188" s="195"/>
    </row>
    <row r="1189" spans="1:15" ht="15.95" customHeight="1" x14ac:dyDescent="0.25">
      <c r="A1189" s="121"/>
      <c r="B1189" s="23"/>
      <c r="C1189" s="59" t="s">
        <v>19</v>
      </c>
      <c r="D1189" s="67" t="s">
        <v>20</v>
      </c>
      <c r="E1189" s="43"/>
      <c r="F1189" s="480"/>
      <c r="G1189" s="484"/>
      <c r="H1189" s="96"/>
      <c r="I1189" s="35"/>
      <c r="J1189" s="24"/>
      <c r="K1189" s="24"/>
      <c r="L1189" s="24"/>
      <c r="M1189" s="25"/>
      <c r="N1189" s="25"/>
      <c r="O1189" s="195"/>
    </row>
    <row r="1190" spans="1:15" ht="15.95" customHeight="1" x14ac:dyDescent="0.25">
      <c r="A1190" s="121"/>
      <c r="B1190" s="23"/>
      <c r="C1190" s="59" t="s">
        <v>14</v>
      </c>
      <c r="D1190" s="68">
        <v>0.08</v>
      </c>
      <c r="E1190" s="43"/>
      <c r="F1190" s="480"/>
      <c r="G1190" s="484"/>
      <c r="H1190" s="23"/>
      <c r="I1190" s="24"/>
      <c r="J1190" s="24"/>
      <c r="K1190" s="24"/>
      <c r="L1190" s="24"/>
      <c r="M1190" s="25"/>
      <c r="N1190" s="25"/>
      <c r="O1190" s="195"/>
    </row>
    <row r="1191" spans="1:15" ht="15.95" customHeight="1" x14ac:dyDescent="0.25">
      <c r="A1191" s="121"/>
      <c r="B1191" s="23"/>
      <c r="C1191" s="59" t="s">
        <v>31</v>
      </c>
      <c r="D1191" s="68"/>
      <c r="E1191" s="43"/>
      <c r="F1191" s="480"/>
      <c r="G1191" s="484"/>
      <c r="H1191" s="23"/>
      <c r="I1191" s="24"/>
      <c r="J1191" s="24"/>
      <c r="K1191" s="24"/>
      <c r="L1191" s="24"/>
      <c r="M1191" s="25"/>
      <c r="N1191" s="25"/>
      <c r="O1191" s="195"/>
    </row>
    <row r="1192" spans="1:15" ht="15.95" customHeight="1" x14ac:dyDescent="0.25">
      <c r="A1192" s="121"/>
      <c r="B1192" s="23"/>
      <c r="C1192" s="59" t="s">
        <v>32</v>
      </c>
      <c r="D1192" s="68"/>
      <c r="E1192" s="44"/>
      <c r="F1192" s="480"/>
      <c r="G1192" s="484"/>
      <c r="H1192" s="23"/>
      <c r="I1192" s="24"/>
      <c r="J1192" s="24"/>
      <c r="K1192" s="24"/>
      <c r="L1192" s="24"/>
      <c r="M1192" s="25"/>
      <c r="N1192" s="25"/>
      <c r="O1192" s="195"/>
    </row>
    <row r="1193" spans="1:15" ht="15.95" customHeight="1" x14ac:dyDescent="0.25">
      <c r="A1193" s="121"/>
      <c r="B1193" s="23"/>
      <c r="C1193" s="59" t="s">
        <v>64</v>
      </c>
      <c r="D1193" s="68">
        <v>0.25</v>
      </c>
      <c r="E1193" s="24"/>
      <c r="F1193" s="480"/>
      <c r="G1193" s="484"/>
      <c r="H1193" s="23"/>
      <c r="I1193" s="24"/>
      <c r="J1193" s="24"/>
      <c r="K1193" s="24"/>
      <c r="L1193" s="24"/>
      <c r="M1193" s="25"/>
      <c r="N1193" s="25"/>
      <c r="O1193" s="195"/>
    </row>
    <row r="1194" spans="1:15" ht="15.95" customHeight="1" x14ac:dyDescent="0.25">
      <c r="A1194" s="121"/>
      <c r="B1194" s="23"/>
      <c r="C1194" s="60"/>
      <c r="D1194" s="110"/>
      <c r="E1194" s="24"/>
      <c r="F1194" s="480"/>
      <c r="G1194" s="484"/>
      <c r="H1194" s="23"/>
      <c r="I1194" s="24"/>
      <c r="J1194" s="24"/>
      <c r="K1194" s="24"/>
      <c r="L1194" s="24"/>
      <c r="M1194" s="25"/>
      <c r="N1194" s="25"/>
      <c r="O1194" s="195"/>
    </row>
    <row r="1195" spans="1:15" ht="15.95" customHeight="1" x14ac:dyDescent="0.25">
      <c r="A1195" s="121"/>
      <c r="B1195" s="23"/>
      <c r="C1195" s="24"/>
      <c r="D1195" s="24"/>
      <c r="E1195" s="24"/>
      <c r="F1195" s="480"/>
      <c r="G1195" s="484"/>
      <c r="H1195" s="23"/>
      <c r="I1195" s="24"/>
      <c r="J1195" s="24"/>
      <c r="K1195" s="24"/>
      <c r="L1195" s="24"/>
      <c r="M1195" s="25"/>
      <c r="N1195" s="25"/>
      <c r="O1195" s="195"/>
    </row>
    <row r="1196" spans="1:15" ht="15.95" customHeight="1" x14ac:dyDescent="0.25">
      <c r="A1196" s="121"/>
      <c r="B1196" s="23"/>
      <c r="C1196" s="24"/>
      <c r="D1196" s="24"/>
      <c r="E1196" s="24"/>
      <c r="F1196" s="480"/>
      <c r="G1196" s="485"/>
      <c r="H1196" s="23"/>
      <c r="I1196" s="24"/>
      <c r="J1196" s="24"/>
      <c r="K1196" s="24"/>
      <c r="L1196" s="24"/>
      <c r="M1196" s="25"/>
      <c r="N1196" s="25"/>
      <c r="O1196" s="195"/>
    </row>
    <row r="1197" spans="1:15" ht="15.95" customHeight="1" x14ac:dyDescent="0.25">
      <c r="A1197" s="121"/>
      <c r="B1197" s="23"/>
      <c r="C1197" s="24"/>
      <c r="D1197" s="24"/>
      <c r="E1197" s="24"/>
      <c r="F1197" s="480"/>
      <c r="G1197" s="485"/>
      <c r="H1197" s="23"/>
      <c r="I1197" s="24"/>
      <c r="J1197" s="24"/>
      <c r="K1197" s="24"/>
      <c r="L1197" s="24"/>
      <c r="M1197" s="25"/>
      <c r="N1197" s="25"/>
      <c r="O1197" s="195"/>
    </row>
    <row r="1198" spans="1:15" ht="15.95" customHeight="1" x14ac:dyDescent="0.25">
      <c r="A1198" s="121"/>
      <c r="B1198" s="23"/>
      <c r="C1198" s="24"/>
      <c r="D1198" s="24"/>
      <c r="E1198" s="24"/>
      <c r="F1198" s="480"/>
      <c r="G1198" s="485"/>
      <c r="H1198" s="23"/>
      <c r="I1198" s="24"/>
      <c r="J1198" s="24"/>
      <c r="K1198" s="24"/>
      <c r="L1198" s="24"/>
      <c r="M1198" s="25"/>
      <c r="N1198" s="25"/>
      <c r="O1198" s="194" t="str">
        <f>+D1311</f>
        <v>ON Pyme CNV Garantizada</v>
      </c>
    </row>
    <row r="1199" spans="1:15" ht="15.95" customHeight="1" x14ac:dyDescent="0.25">
      <c r="A1199" s="121"/>
      <c r="B1199" s="23"/>
      <c r="C1199" s="24"/>
      <c r="D1199" s="24"/>
      <c r="E1199" s="24"/>
      <c r="F1199" s="480"/>
      <c r="G1199" s="485"/>
      <c r="H1199" s="26"/>
      <c r="I1199" s="27"/>
      <c r="J1199" s="27"/>
      <c r="K1199" s="27"/>
      <c r="L1199" s="27"/>
      <c r="M1199" s="28"/>
      <c r="N1199" s="25"/>
      <c r="O1199" s="195"/>
    </row>
    <row r="1200" spans="1:15" ht="15.95" customHeight="1" x14ac:dyDescent="0.25">
      <c r="A1200" s="121"/>
      <c r="B1200" s="26"/>
      <c r="C1200" s="27"/>
      <c r="D1200" s="27"/>
      <c r="E1200" s="27"/>
      <c r="F1200" s="481"/>
      <c r="G1200" s="486"/>
      <c r="H1200" s="27"/>
      <c r="I1200" s="27"/>
      <c r="J1200" s="27"/>
      <c r="K1200" s="27"/>
      <c r="L1200" s="27"/>
      <c r="M1200" s="27"/>
      <c r="N1200" s="28"/>
      <c r="O1200" s="194" t="str">
        <f>+IF(J1309="vencida",IF(D1311='Reporte - Oscuro'!$C$40,'Reporte - Oscuro'!$C$40&amp;" vencida",IF(D1311='Reporte - Oscuro'!$C$41,'Reporte - Oscuro'!$C$41&amp;" vencida",IF(D1311='Reporte - Oscuro'!$C$42,'Reporte - Oscuro'!$C$42&amp;" vencida",'Reporte - Oscuro'!$C$43&amp;" vencida"))),D1311&amp;" vigente")</f>
        <v>ON Pyme CNV Garantizada vencida</v>
      </c>
    </row>
    <row r="1201" spans="1:17" ht="15.95" customHeight="1" x14ac:dyDescent="0.25">
      <c r="A1201" s="121"/>
      <c r="B1201" s="23"/>
      <c r="C1201" s="24"/>
      <c r="D1201" s="24"/>
      <c r="E1201" s="24"/>
      <c r="F1201" s="483"/>
      <c r="G1201" s="483"/>
      <c r="H1201" s="31"/>
      <c r="I1201" s="31"/>
      <c r="J1201" s="24"/>
      <c r="K1201" s="24"/>
      <c r="L1201" s="24"/>
      <c r="M1201" s="24"/>
      <c r="N1201" s="25"/>
      <c r="O1201" s="195"/>
    </row>
    <row r="1202" spans="1:17" ht="15.95" customHeight="1" x14ac:dyDescent="0.25">
      <c r="A1202" s="121"/>
      <c r="B1202" s="23"/>
      <c r="C1202" s="24"/>
      <c r="D1202" s="24"/>
      <c r="E1202" s="24"/>
      <c r="F1202" s="483"/>
      <c r="G1202" s="483"/>
      <c r="H1202" s="31"/>
      <c r="I1202" s="31"/>
      <c r="J1202" s="24"/>
      <c r="K1202" s="24"/>
      <c r="L1202" s="24"/>
      <c r="M1202" s="24"/>
      <c r="N1202" s="25"/>
      <c r="O1202" s="195"/>
    </row>
    <row r="1203" spans="1:17" ht="15.95" customHeight="1" x14ac:dyDescent="0.25">
      <c r="A1203" s="121"/>
      <c r="B1203" s="661" t="s">
        <v>371</v>
      </c>
      <c r="C1203" s="662"/>
      <c r="D1203" s="662"/>
      <c r="E1203" s="662"/>
      <c r="F1203" s="662"/>
      <c r="G1203" s="662"/>
      <c r="H1203" s="662"/>
      <c r="I1203" s="662"/>
      <c r="J1203" s="662"/>
      <c r="K1203" s="662"/>
      <c r="L1203" s="662"/>
      <c r="M1203" s="662"/>
      <c r="N1203" s="663"/>
      <c r="O1203" s="195"/>
    </row>
    <row r="1204" spans="1:17" ht="15.95" customHeight="1" x14ac:dyDescent="0.25">
      <c r="A1204" s="121"/>
      <c r="B1204" s="23"/>
      <c r="C1204" s="24"/>
      <c r="D1204" s="24"/>
      <c r="E1204" s="24"/>
      <c r="F1204" s="483"/>
      <c r="G1204" s="484"/>
      <c r="H1204" s="31"/>
      <c r="I1204" s="31"/>
      <c r="J1204" s="24"/>
      <c r="K1204" s="24"/>
      <c r="L1204" s="24"/>
      <c r="M1204" s="24"/>
      <c r="N1204" s="25"/>
      <c r="O1204" s="195"/>
    </row>
    <row r="1205" spans="1:17" ht="20.100000000000001" customHeight="1" x14ac:dyDescent="0.25">
      <c r="A1205" s="121"/>
      <c r="B1205" s="23"/>
      <c r="C1205" s="638" t="s">
        <v>37</v>
      </c>
      <c r="D1205" s="639"/>
      <c r="E1205" s="640"/>
      <c r="F1205" s="483"/>
      <c r="G1205" s="484"/>
      <c r="H1205" s="641" t="s">
        <v>28</v>
      </c>
      <c r="I1205" s="642"/>
      <c r="J1205" s="39">
        <f>+$D$1224-SUMIF($H$1212:$H$1217,"&lt;"&amp;$M$4,$K$1212:$K$1217)</f>
        <v>0</v>
      </c>
      <c r="K1205" s="24"/>
      <c r="L1205" s="24"/>
      <c r="M1205" s="24"/>
      <c r="N1205" s="25"/>
      <c r="O1205" s="197">
        <f>+M1314</f>
        <v>-2000000</v>
      </c>
      <c r="P1205" s="197">
        <f>-M1314</f>
        <v>2000000</v>
      </c>
      <c r="Q1205" s="197"/>
    </row>
    <row r="1206" spans="1:17" ht="15.95" customHeight="1" x14ac:dyDescent="0.25">
      <c r="A1206" s="121"/>
      <c r="B1206" s="23"/>
      <c r="C1206" s="58"/>
      <c r="D1206" s="664"/>
      <c r="E1206" s="665"/>
      <c r="F1206" s="483"/>
      <c r="G1206" s="484"/>
      <c r="H1206" s="645" t="s">
        <v>29</v>
      </c>
      <c r="I1206" s="646"/>
      <c r="J1206" s="40">
        <f>+$D$1223</f>
        <v>45622</v>
      </c>
      <c r="K1206" s="24"/>
      <c r="L1206" s="24"/>
      <c r="M1206" s="24"/>
      <c r="N1206" s="25"/>
      <c r="O1206" s="197">
        <f t="shared" ref="O1206:O1217" si="107">+M1315+O1205</f>
        <v>-1776260.4166666667</v>
      </c>
      <c r="P1206" s="197">
        <f t="shared" ref="P1206:P1217" si="108">+(M1315/(1+$J$1330)^((H1315-$H$1314)/365))/$P$1205</f>
        <v>0.11186979166666666</v>
      </c>
      <c r="Q1206" s="197">
        <f t="shared" ref="Q1206:Q1217" si="109">+P1206*((H1315-$H$1314)/365)</f>
        <v>2.8810302511415524E-2</v>
      </c>
    </row>
    <row r="1207" spans="1:17" ht="20.100000000000001" customHeight="1" x14ac:dyDescent="0.25">
      <c r="A1207" s="121"/>
      <c r="B1207" s="23"/>
      <c r="C1207" s="59" t="s">
        <v>25</v>
      </c>
      <c r="D1207" s="658"/>
      <c r="E1207" s="659"/>
      <c r="F1207" s="483"/>
      <c r="G1207" s="484"/>
      <c r="H1207" s="649" t="s">
        <v>30</v>
      </c>
      <c r="I1207" s="650"/>
      <c r="J1207" s="42" t="s">
        <v>534</v>
      </c>
      <c r="K1207" s="24"/>
      <c r="L1207" s="24"/>
      <c r="M1207" s="24"/>
      <c r="N1207" s="25"/>
      <c r="O1207" s="197">
        <f t="shared" si="107"/>
        <v>-1517163.1944444445</v>
      </c>
      <c r="P1207" s="197">
        <f t="shared" si="108"/>
        <v>0.12954861111111113</v>
      </c>
      <c r="Q1207" s="197">
        <f t="shared" si="109"/>
        <v>6.5661624809741262E-2</v>
      </c>
    </row>
    <row r="1208" spans="1:17" ht="15.95" customHeight="1" x14ac:dyDescent="0.25">
      <c r="A1208" s="121"/>
      <c r="B1208" s="23"/>
      <c r="C1208" s="59" t="s">
        <v>6</v>
      </c>
      <c r="D1208" s="658" t="s">
        <v>372</v>
      </c>
      <c r="E1208" s="659"/>
      <c r="F1208" s="483"/>
      <c r="G1208" s="484"/>
      <c r="H1208" s="24"/>
      <c r="I1208" s="24"/>
      <c r="J1208" s="24"/>
      <c r="K1208" s="24"/>
      <c r="L1208" s="24"/>
      <c r="M1208" s="24"/>
      <c r="N1208" s="25"/>
      <c r="O1208" s="197">
        <f t="shared" si="107"/>
        <v>-1271190.9722222222</v>
      </c>
      <c r="P1208" s="197">
        <f t="shared" si="108"/>
        <v>0.12298611111111112</v>
      </c>
      <c r="Q1208" s="197">
        <f t="shared" si="109"/>
        <v>9.1986872146118726E-2</v>
      </c>
    </row>
    <row r="1209" spans="1:17" ht="15.95" customHeight="1" x14ac:dyDescent="0.25">
      <c r="A1209" s="121"/>
      <c r="B1209" s="23"/>
      <c r="C1209" s="59" t="s">
        <v>8</v>
      </c>
      <c r="D1209" s="658" t="s">
        <v>17</v>
      </c>
      <c r="E1209" s="659"/>
      <c r="F1209" s="483"/>
      <c r="G1209" s="484"/>
      <c r="H1209" s="651" t="s">
        <v>41</v>
      </c>
      <c r="I1209" s="652"/>
      <c r="J1209" s="652"/>
      <c r="K1209" s="652"/>
      <c r="L1209" s="653"/>
      <c r="M1209" s="24"/>
      <c r="N1209" s="25"/>
      <c r="O1209" s="197">
        <f t="shared" si="107"/>
        <v>-336136.11111111112</v>
      </c>
      <c r="P1209" s="197">
        <f t="shared" si="108"/>
        <v>0.46752743055555557</v>
      </c>
      <c r="Q1209" s="197">
        <f t="shared" si="109"/>
        <v>0.47008922469558601</v>
      </c>
    </row>
    <row r="1210" spans="1:17" ht="15.95" customHeight="1" x14ac:dyDescent="0.25">
      <c r="A1210" s="121"/>
      <c r="B1210" s="23"/>
      <c r="C1210" s="59" t="s">
        <v>33</v>
      </c>
      <c r="D1210" s="73" t="s">
        <v>287</v>
      </c>
      <c r="E1210" s="273">
        <v>1</v>
      </c>
      <c r="F1210" s="483">
        <f>+E1210*J1205</f>
        <v>0</v>
      </c>
      <c r="G1210" s="484"/>
      <c r="H1210" s="81" t="s">
        <v>0</v>
      </c>
      <c r="I1210" s="82" t="s">
        <v>2</v>
      </c>
      <c r="J1210" s="82" t="s">
        <v>3</v>
      </c>
      <c r="K1210" s="82" t="s">
        <v>4</v>
      </c>
      <c r="L1210" s="83" t="s">
        <v>5</v>
      </c>
      <c r="M1210" s="82" t="s">
        <v>44</v>
      </c>
      <c r="N1210" s="25"/>
      <c r="O1210" s="197">
        <f t="shared" si="107"/>
        <v>-132850.484375</v>
      </c>
      <c r="P1210" s="197">
        <f t="shared" si="108"/>
        <v>0.10164281336805556</v>
      </c>
      <c r="Q1210" s="197">
        <f t="shared" si="109"/>
        <v>0.12754084526731355</v>
      </c>
    </row>
    <row r="1211" spans="1:17" ht="15.95" customHeight="1" x14ac:dyDescent="0.25">
      <c r="A1211" s="121"/>
      <c r="B1211" s="23"/>
      <c r="C1211" s="59" t="s">
        <v>34</v>
      </c>
      <c r="D1211" s="658" t="s">
        <v>48</v>
      </c>
      <c r="E1211" s="659"/>
      <c r="F1211" s="483"/>
      <c r="G1211" s="484"/>
      <c r="H1211" s="45"/>
      <c r="I1211" s="46"/>
      <c r="J1211" s="46"/>
      <c r="K1211" s="46"/>
      <c r="L1211" s="47"/>
      <c r="M1211" s="23"/>
      <c r="N1211" s="25"/>
      <c r="O1211" s="197">
        <f t="shared" si="107"/>
        <v>53793.106597222242</v>
      </c>
      <c r="P1211" s="197">
        <f t="shared" si="108"/>
        <v>9.3321795486111123E-2</v>
      </c>
      <c r="Q1211" s="197">
        <f t="shared" si="109"/>
        <v>0.14036620745719181</v>
      </c>
    </row>
    <row r="1212" spans="1:17" ht="15.95" customHeight="1" x14ac:dyDescent="0.25">
      <c r="A1212" s="121"/>
      <c r="B1212" s="23"/>
      <c r="C1212" s="79" t="s">
        <v>38</v>
      </c>
      <c r="D1212" s="75"/>
      <c r="E1212" s="76"/>
      <c r="F1212" s="483"/>
      <c r="G1212" s="484"/>
      <c r="H1212" s="48">
        <f>+$D$1222</f>
        <v>44707</v>
      </c>
      <c r="I1212" s="70"/>
      <c r="J1212" s="49"/>
      <c r="K1212" s="49"/>
      <c r="L1212" s="50">
        <f>+D1224</f>
        <v>50000000</v>
      </c>
      <c r="M1212" s="93">
        <f>-L1212</f>
        <v>-50000000</v>
      </c>
      <c r="N1212" s="25"/>
      <c r="O1212" s="197">
        <f t="shared" si="107"/>
        <v>188930.65017361112</v>
      </c>
      <c r="P1212" s="197">
        <f t="shared" si="108"/>
        <v>6.756877178819444E-2</v>
      </c>
      <c r="Q1212" s="197">
        <f t="shared" si="109"/>
        <v>0.1184767505327245</v>
      </c>
    </row>
    <row r="1213" spans="1:17" ht="15.95" customHeight="1" x14ac:dyDescent="0.25">
      <c r="A1213" s="121"/>
      <c r="B1213" s="23"/>
      <c r="C1213" s="59"/>
      <c r="D1213" s="73"/>
      <c r="E1213" s="74"/>
      <c r="F1213" s="483"/>
      <c r="G1213" s="484"/>
      <c r="H1213" s="51">
        <f t="array" ref="H1213">IF(DAY(H1212)=DAY($H$1212),IF(WEEKDAY(EDATE(H1212,$D$1225),3)&lt;5,EDATE(H1212,$D$1225),WORKDAY(EDATE(H1212,$D$1225),1)),IF(WEEKDAY(EDATE($H$1212,$D$1225*COUNT($H$1212:H1212)),3)&lt;5,EDATE($H$1212,$D$1225*COUNT($H$1212:H1212)),WORKDAY(EDATE($H$1212,$D$1225*COUNT($H$1212:H1212)),1)))</f>
        <v>44893</v>
      </c>
      <c r="I1213" s="71" t="s">
        <v>13</v>
      </c>
      <c r="J1213" s="52">
        <f>(IF(AND($D$1228&lt;&gt;"",$D$1228&gt;(AVERAGE(VLOOKUP(WORKDAY.INTL(H1213,-7,1,),'Tasas-TC'!A:B,2,FALSE),VLOOKUP(WORKDAY.INTL(H1212,-7,1,),'Tasas-TC'!A:B,2,FALSE))+$D$1227)),$D$1228,IF(AND($D$1229&lt;&gt;"",$D$1229&lt;(AVERAGE(VLOOKUP(WORKDAY.INTL(H1213,-7,1,),'Tasas-TC'!A:B,2,FALSE),VLOOKUP(WORKDAY.INTL(H1212,-7,1,),'Tasas-TC'!A:B,2,FALSE))+$D$1227)),$D$1229,(AVERAGE(VLOOKUP(WORKDAY.INTL(H1213,-7,1,),'Tasas-TC'!A:B,2,FALSE),VLOOKUP(WORKDAY.INTL(H1212,-7,1,),'Tasas-TC'!A:B,2,FALSE))+$D$1227)))/360)*(H1213-H1212)*L1212</f>
        <v>15911718.75</v>
      </c>
      <c r="K1213" s="52">
        <f>+IF(OR(I1213="A + C",I1213="A"),$D$1224*$D$1230,0)</f>
        <v>10000000</v>
      </c>
      <c r="L1213" s="53">
        <f>+L1212-K1213</f>
        <v>40000000</v>
      </c>
      <c r="M1213" s="94">
        <f>+J1213+K1213</f>
        <v>25911718.75</v>
      </c>
      <c r="N1213" s="25"/>
      <c r="O1213" s="197">
        <f t="shared" si="107"/>
        <v>965810.46944444452</v>
      </c>
      <c r="P1213" s="197">
        <f t="shared" si="108"/>
        <v>0.38843990963541669</v>
      </c>
      <c r="Q1213" s="197">
        <f t="shared" si="109"/>
        <v>0.77794403820134139</v>
      </c>
    </row>
    <row r="1214" spans="1:17" ht="15.95" customHeight="1" x14ac:dyDescent="0.25">
      <c r="A1214" s="121"/>
      <c r="B1214" s="23"/>
      <c r="C1214" s="60"/>
      <c r="D1214" s="77"/>
      <c r="E1214" s="78"/>
      <c r="F1214" s="483"/>
      <c r="G1214" s="484"/>
      <c r="H1214" s="51">
        <f t="array" ref="H1214">IF(DAY(H1213)=DAY($H$1212),IF(WEEKDAY(EDATE(H1213,$D$1225),3)&lt;5,EDATE(H1213,$D$1225),WORKDAY(EDATE(H1213,$D$1225),1)),IF(WEEKDAY(EDATE($H$1212,$D$1225*COUNT($H$1212:H1213)),3)&lt;5,EDATE($H$1212,$D$1225*COUNT($H$1212:H1213)),WORKDAY(EDATE($H$1212,$D$1225*COUNT($H$1212:H1213)),1)))</f>
        <v>45072</v>
      </c>
      <c r="I1214" s="71" t="s">
        <v>13</v>
      </c>
      <c r="J1214" s="52">
        <f>(IF(AND($D$1228&lt;&gt;"",$D$1228&gt;(AVERAGE(VLOOKUP(WORKDAY.INTL(H1214,-7,1,),'Tasas-TC'!A:B,2,FALSE),VLOOKUP(WORKDAY.INTL(H1213,-7,1,),'Tasas-TC'!A:B,2,FALSE))+$D$1227)),$D$1228,IF(AND($D$1229&lt;&gt;"",$D$1229&lt;(AVERAGE(VLOOKUP(WORKDAY.INTL(H1214,-7,1,),'Tasas-TC'!A:B,2,FALSE),VLOOKUP(WORKDAY.INTL(H1213,-7,1,),'Tasas-TC'!A:B,2,FALSE))+$D$1227)),$D$1229,(AVERAGE(VLOOKUP(WORKDAY.INTL(H1214,-7,1,),'Tasas-TC'!A:B,2,FALSE),VLOOKUP(WORKDAY.INTL(H1213,-7,1,),'Tasas-TC'!A:B,2,FALSE))+$D$1227)))/360)*(H1214-H1213)*L1213</f>
        <v>16383472.222222222</v>
      </c>
      <c r="K1214" s="52">
        <f>+IF(OR(I1214="A + C",I1214="A"),$D$1224*$D$1230,0)</f>
        <v>10000000</v>
      </c>
      <c r="L1214" s="53">
        <f>+L1213-K1214</f>
        <v>30000000</v>
      </c>
      <c r="M1214" s="94">
        <f>+J1214+K1214</f>
        <v>26383472.222222224</v>
      </c>
      <c r="N1214" s="25"/>
      <c r="O1214" s="197">
        <f t="shared" si="107"/>
        <v>1018848.8527777778</v>
      </c>
      <c r="P1214" s="197">
        <f t="shared" si="108"/>
        <v>2.6519191666666667E-2</v>
      </c>
      <c r="Q1214" s="197">
        <f t="shared" si="109"/>
        <v>5.9795328059360733E-2</v>
      </c>
    </row>
    <row r="1215" spans="1:17" ht="15.95" customHeight="1" x14ac:dyDescent="0.25">
      <c r="A1215" s="121"/>
      <c r="B1215" s="23"/>
      <c r="C1215" s="60"/>
      <c r="D1215" s="55" t="str">
        <f>+B1203</f>
        <v>Estructuras I</v>
      </c>
      <c r="E1215" s="64"/>
      <c r="F1215" s="483"/>
      <c r="G1215" s="484">
        <f>+J1205</f>
        <v>0</v>
      </c>
      <c r="H1215" s="51">
        <f t="array" ref="H1215">IF(DAY(H1214)=DAY($H$1212),IF(WEEKDAY(EDATE(H1214,$D$1225),3)&lt;5,EDATE(H1214,$D$1225),WORKDAY(EDATE(H1214,$D$1225),1)),IF(WEEKDAY(EDATE($H$1212,$D$1225*COUNT($H$1212:H1214)),3)&lt;5,EDATE($H$1212,$D$1225*COUNT($H$1212:H1214)),WORKDAY(EDATE($H$1212,$D$1225*COUNT($H$1212:H1214)),1)))</f>
        <v>45257</v>
      </c>
      <c r="I1215" s="71" t="s">
        <v>13</v>
      </c>
      <c r="J1215" s="52">
        <f>(IF(AND($D$1228&lt;&gt;"",$D$1228&gt;(AVERAGE(VLOOKUP(WORKDAY.INTL(H1215,-7,1,),'Tasas-TC'!A:B,2,FALSE),VLOOKUP(WORKDAY.INTL(H1214,-7,1,),'Tasas-TC'!A:B,2,FALSE))+$D$1227)),$D$1228,IF(AND($D$1229&lt;&gt;"",$D$1229&lt;(AVERAGE(VLOOKUP(WORKDAY.INTL(H1215,-7,1,),'Tasas-TC'!A:B,2,FALSE),VLOOKUP(WORKDAY.INTL(H1214,-7,1,),'Tasas-TC'!A:B,2,FALSE))+$D$1227)),$D$1229,(AVERAGE(VLOOKUP(WORKDAY.INTL(H1215,-7,1,),'Tasas-TC'!A:B,2,FALSE),VLOOKUP(WORKDAY.INTL(H1214,-7,1,),'Tasas-TC'!A:B,2,FALSE))+$D$1227)))/360)*(H1215-H1214)*L1214</f>
        <v>17416015.625000004</v>
      </c>
      <c r="K1215" s="52">
        <f>+IF(OR(I1215="A + C",I1215="A"),$D$1224*$D$1230,0)</f>
        <v>10000000</v>
      </c>
      <c r="L1215" s="53">
        <f>+L1214-K1215</f>
        <v>20000000</v>
      </c>
      <c r="M1215" s="94">
        <f>+J1215+K1215</f>
        <v>27416015.625000004</v>
      </c>
      <c r="N1215" s="25"/>
      <c r="O1215" s="197">
        <f t="shared" si="107"/>
        <v>1071310.7319444446</v>
      </c>
      <c r="P1215" s="197">
        <f t="shared" si="108"/>
        <v>2.6230939583333331E-2</v>
      </c>
      <c r="Q1215" s="197">
        <f t="shared" si="109"/>
        <v>6.5685147340182645E-2</v>
      </c>
    </row>
    <row r="1216" spans="1:17" ht="15.95" customHeight="1" x14ac:dyDescent="0.25">
      <c r="A1216" s="121"/>
      <c r="B1216" s="32"/>
      <c r="D1216" s="644"/>
      <c r="E1216" s="660"/>
      <c r="F1216" s="483"/>
      <c r="G1216" s="484"/>
      <c r="H1216" s="51">
        <f t="array" ref="H1216">IF(DAY(H1215)=DAY($H$1212),IF(WEEKDAY(EDATE(H1215,$D$1225),3)&lt;5,EDATE(H1215,$D$1225),WORKDAY(EDATE(H1215,$D$1225),1)),IF(WEEKDAY(EDATE($H$1212,$D$1225*COUNT($H$1212:H1215)),3)&lt;5,EDATE($H$1212,$D$1225*COUNT($H$1212:H1215)),WORKDAY(EDATE($H$1212,$D$1225*COUNT($H$1212:H1215)),1)))</f>
        <v>45439</v>
      </c>
      <c r="I1216" s="71" t="s">
        <v>13</v>
      </c>
      <c r="J1216" s="52">
        <f>(IF(AND($D$1228&lt;&gt;"",$D$1228&gt;(AVERAGE(VLOOKUP(WORKDAY.INTL(H1216,-7,1,),'Tasas-TC'!A:B,2,FALSE),VLOOKUP(WORKDAY.INTL(H1215,-7,1,),'Tasas-TC'!A:B,2,FALSE))+$D$1227)),$D$1228,IF(AND($D$1229&lt;&gt;"",$D$1229&lt;(AVERAGE(VLOOKUP(WORKDAY.INTL(H1216,-7,1,),'Tasas-TC'!A:B,2,FALSE),VLOOKUP(WORKDAY.INTL(H1215,-7,1,),'Tasas-TC'!A:B,2,FALSE))+$D$1227)),$D$1229,(AVERAGE(VLOOKUP(WORKDAY.INTL(H1216,-7,1,),'Tasas-TC'!A:B,2,FALSE),VLOOKUP(WORKDAY.INTL(H1215,-7,1,),'Tasas-TC'!A:B,2,FALSE))+$D$1227)))/360)*(H1216-H1215)*L1215</f>
        <v>9387408.333333334</v>
      </c>
      <c r="K1216" s="52">
        <f>+IF(OR(I1216="A + C",I1216="A"),$D$1224*$D$1230,0)</f>
        <v>10000000</v>
      </c>
      <c r="L1216" s="53">
        <f>+L1215-K1216</f>
        <v>10000000</v>
      </c>
      <c r="M1216" s="94">
        <f>+J1216+K1216</f>
        <v>19387408.333333336</v>
      </c>
      <c r="N1216" s="25"/>
      <c r="O1216" s="197">
        <f t="shared" si="107"/>
        <v>1123196.1069444446</v>
      </c>
      <c r="P1216" s="197">
        <f t="shared" si="108"/>
        <v>2.5942687499999995E-2</v>
      </c>
      <c r="Q1216" s="197">
        <f t="shared" si="109"/>
        <v>7.1360159589041072E-2</v>
      </c>
    </row>
    <row r="1217" spans="1:17" ht="15.95" customHeight="1" x14ac:dyDescent="0.25">
      <c r="A1217" s="121"/>
      <c r="B1217" s="23"/>
      <c r="C1217" s="638" t="s">
        <v>36</v>
      </c>
      <c r="D1217" s="640"/>
      <c r="E1217" s="36"/>
      <c r="F1217" s="483"/>
      <c r="G1217" s="484"/>
      <c r="H1217" s="54">
        <f t="array" ref="H1217">IF(DAY(H1216)=DAY($H$1212),IF(WEEKDAY(EDATE(H1216,$D$1225),3)&lt;5,EDATE(H1216,$D$1225),WORKDAY(EDATE(H1216,$D$1225),1)),IF(WEEKDAY(EDATE($H$1212,$D$1225*COUNT($H$1212:H1216)),3)&lt;5,EDATE($H$1212,$D$1225*COUNT($H$1212:H1216)),WORKDAY(EDATE($H$1212,$D$1225*COUNT($H$1212:H1216)),1)))</f>
        <v>45622</v>
      </c>
      <c r="I1217" s="104" t="s">
        <v>13</v>
      </c>
      <c r="J1217" s="105">
        <f>(IF(AND($D$1228&lt;&gt;"",$D$1228&gt;(AVERAGE(VLOOKUP(WORKDAY.INTL(H1217,-7,1,),'Tasas-TC'!A:B,2,FALSE),VLOOKUP(WORKDAY.INTL(H1216,-7,1,),'Tasas-TC'!A:B,2,FALSE))+$D$1227)),$D$1228,IF(AND($D$1229&lt;&gt;"",$D$1229&lt;(AVERAGE(VLOOKUP(WORKDAY.INTL(H1217,-7,1,),'Tasas-TC'!A:B,2,FALSE),VLOOKUP(WORKDAY.INTL(H1216,-7,1,),'Tasas-TC'!A:B,2,FALSE))+$D$1227)),$D$1229,(AVERAGE(VLOOKUP(WORKDAY.INTL(H1217,-7,1,),'Tasas-TC'!A:B,2,FALSE),VLOOKUP(WORKDAY.INTL(H1216,-7,1,),'Tasas-TC'!A:B,2,FALSE))+$D$1227)))/360)*(H1217-H1216)*L1216</f>
        <v>2350978.125</v>
      </c>
      <c r="K1217" s="105">
        <f>+IF(OR(I1217="A + C",I1217="A"),$D$1224*$D$1230,0)</f>
        <v>10000000</v>
      </c>
      <c r="L1217" s="106">
        <f>+L1216-K1217</f>
        <v>0</v>
      </c>
      <c r="M1217" s="394">
        <f>+J1217+K1217</f>
        <v>12350978.125</v>
      </c>
      <c r="N1217" s="25"/>
      <c r="O1217" s="197">
        <f t="shared" si="107"/>
        <v>1843034.4902777779</v>
      </c>
      <c r="P1217" s="197">
        <f t="shared" si="108"/>
        <v>0.35991919166666664</v>
      </c>
      <c r="Q1217" s="197">
        <f t="shared" si="109"/>
        <v>1.080743654977169</v>
      </c>
    </row>
    <row r="1218" spans="1:17" ht="15.95" customHeight="1" x14ac:dyDescent="0.25">
      <c r="A1218" s="121"/>
      <c r="B1218" s="23"/>
      <c r="C1218" s="409"/>
      <c r="D1218" s="410"/>
      <c r="E1218" s="36"/>
      <c r="F1218" s="483"/>
      <c r="G1218" s="484"/>
      <c r="H1218" s="35"/>
      <c r="I1218" s="24"/>
      <c r="J1218" s="109"/>
      <c r="K1218" s="109"/>
      <c r="L1218" s="109"/>
      <c r="M1218" s="109"/>
      <c r="N1218" s="25"/>
      <c r="O1218" s="197"/>
    </row>
    <row r="1219" spans="1:17" ht="15.95" customHeight="1" x14ac:dyDescent="0.25">
      <c r="A1219" s="121"/>
      <c r="B1219" s="23"/>
      <c r="C1219" s="59"/>
      <c r="D1219" s="62"/>
      <c r="E1219" s="36"/>
      <c r="F1219" s="483"/>
      <c r="G1219" s="484"/>
      <c r="H1219" s="109"/>
      <c r="I1219" s="109"/>
      <c r="J1219" s="109"/>
      <c r="K1219" s="109"/>
      <c r="L1219" s="109"/>
      <c r="M1219" s="109"/>
      <c r="N1219" s="25"/>
      <c r="O1219" s="197"/>
    </row>
    <row r="1220" spans="1:17" ht="15.95" customHeight="1" x14ac:dyDescent="0.25">
      <c r="A1220" s="121"/>
      <c r="B1220" s="23"/>
      <c r="C1220" s="59" t="s">
        <v>9</v>
      </c>
      <c r="D1220" s="98" t="s">
        <v>18</v>
      </c>
      <c r="E1220" s="36"/>
      <c r="F1220" s="483"/>
      <c r="G1220" s="484"/>
      <c r="H1220" s="656" t="s">
        <v>43</v>
      </c>
      <c r="I1220" s="656"/>
      <c r="J1220" s="92">
        <f>+J1205+(L1217*(P158+D1227)*($M$4-H1217)/365)</f>
        <v>0</v>
      </c>
      <c r="K1220" s="92"/>
      <c r="L1220" s="24"/>
      <c r="M1220" s="24"/>
      <c r="N1220" s="25"/>
      <c r="O1220" s="195"/>
    </row>
    <row r="1221" spans="1:17" ht="15.95" customHeight="1" x14ac:dyDescent="0.25">
      <c r="A1221" s="121"/>
      <c r="B1221" s="23"/>
      <c r="C1221" s="59" t="s">
        <v>10</v>
      </c>
      <c r="D1221" s="65">
        <v>44704</v>
      </c>
      <c r="E1221" s="36"/>
      <c r="F1221" s="483"/>
      <c r="G1221" s="484"/>
      <c r="H1221" s="657"/>
      <c r="I1221" s="657"/>
      <c r="J1221" s="392"/>
      <c r="K1221" s="24"/>
      <c r="L1221" s="33"/>
      <c r="M1221" s="33"/>
      <c r="N1221" s="25"/>
      <c r="O1221" s="195"/>
    </row>
    <row r="1222" spans="1:17" ht="15.95" customHeight="1" x14ac:dyDescent="0.25">
      <c r="A1222" s="121"/>
      <c r="B1222" s="23"/>
      <c r="C1222" s="59" t="s">
        <v>11</v>
      </c>
      <c r="D1222" s="65">
        <v>44707</v>
      </c>
      <c r="E1222" s="36"/>
      <c r="F1222" s="483"/>
      <c r="G1222" s="484"/>
      <c r="H1222" s="24"/>
      <c r="I1222" s="24"/>
      <c r="J1222" s="24"/>
      <c r="K1222" s="24"/>
      <c r="L1222" s="24"/>
      <c r="M1222" s="24"/>
      <c r="N1222" s="25"/>
      <c r="O1222" s="195"/>
    </row>
    <row r="1223" spans="1:17" ht="15.95" customHeight="1" x14ac:dyDescent="0.25">
      <c r="A1223" s="121"/>
      <c r="B1223" s="23"/>
      <c r="C1223" s="59" t="s">
        <v>12</v>
      </c>
      <c r="D1223" s="65">
        <v>45622</v>
      </c>
      <c r="E1223" s="36"/>
      <c r="F1223" s="483"/>
      <c r="G1223" s="484"/>
      <c r="H1223" s="638" t="s">
        <v>44</v>
      </c>
      <c r="I1223" s="639"/>
      <c r="J1223" s="639"/>
      <c r="K1223" s="639"/>
      <c r="L1223" s="639"/>
      <c r="M1223" s="640"/>
      <c r="N1223" s="25"/>
      <c r="O1223" s="195"/>
    </row>
    <row r="1224" spans="1:17" ht="15.95" customHeight="1" x14ac:dyDescent="0.25">
      <c r="A1224" s="121"/>
      <c r="B1224" s="23"/>
      <c r="C1224" s="59" t="s">
        <v>27</v>
      </c>
      <c r="D1224" s="66">
        <v>50000000</v>
      </c>
      <c r="E1224" s="41"/>
      <c r="F1224" s="480"/>
      <c r="G1224" s="484"/>
      <c r="H1224" s="23"/>
      <c r="I1224" s="24"/>
      <c r="J1224" s="24"/>
      <c r="K1224" s="24"/>
      <c r="L1224" s="24"/>
      <c r="M1224" s="25"/>
      <c r="N1224" s="25"/>
      <c r="O1224" s="195"/>
    </row>
    <row r="1225" spans="1:17" ht="15.95" customHeight="1" x14ac:dyDescent="0.25">
      <c r="A1225" s="121"/>
      <c r="B1225" s="23"/>
      <c r="C1225" s="59" t="s">
        <v>26</v>
      </c>
      <c r="D1225" s="66">
        <v>6</v>
      </c>
      <c r="E1225" s="36"/>
      <c r="F1225" s="480"/>
      <c r="G1225" s="484"/>
      <c r="H1225" s="23"/>
      <c r="I1225" s="24"/>
      <c r="J1225" s="24"/>
      <c r="K1225" s="24"/>
      <c r="L1225" s="24"/>
      <c r="M1225" s="25"/>
      <c r="N1225" s="25"/>
      <c r="O1225" s="195"/>
    </row>
    <row r="1226" spans="1:17" ht="15.95" customHeight="1" x14ac:dyDescent="0.25">
      <c r="A1226" s="121"/>
      <c r="B1226" s="23"/>
      <c r="C1226" s="59" t="s">
        <v>19</v>
      </c>
      <c r="D1226" s="67" t="s">
        <v>20</v>
      </c>
      <c r="E1226" s="43"/>
      <c r="F1226" s="480"/>
      <c r="G1226" s="484"/>
      <c r="H1226" s="96"/>
      <c r="I1226" s="35"/>
      <c r="J1226" s="24"/>
      <c r="K1226" s="24"/>
      <c r="L1226" s="24"/>
      <c r="M1226" s="25"/>
      <c r="N1226" s="25"/>
      <c r="O1226" s="195"/>
    </row>
    <row r="1227" spans="1:17" ht="15.95" customHeight="1" x14ac:dyDescent="0.25">
      <c r="A1227" s="121"/>
      <c r="B1227" s="23"/>
      <c r="C1227" s="59" t="s">
        <v>14</v>
      </c>
      <c r="D1227" s="68">
        <v>0.04</v>
      </c>
      <c r="E1227" s="43"/>
      <c r="F1227" s="480"/>
      <c r="G1227" s="484"/>
      <c r="H1227" s="23"/>
      <c r="I1227" s="24"/>
      <c r="J1227" s="24"/>
      <c r="K1227" s="24"/>
      <c r="L1227" s="24"/>
      <c r="M1227" s="25"/>
      <c r="N1227" s="25"/>
      <c r="O1227" s="195"/>
    </row>
    <row r="1228" spans="1:17" ht="15.95" customHeight="1" x14ac:dyDescent="0.25">
      <c r="A1228" s="121"/>
      <c r="B1228" s="23"/>
      <c r="C1228" s="59" t="s">
        <v>31</v>
      </c>
      <c r="D1228" s="68"/>
      <c r="E1228" s="43"/>
      <c r="F1228" s="480"/>
      <c r="G1228" s="484"/>
      <c r="H1228" s="23"/>
      <c r="I1228" s="24"/>
      <c r="J1228" s="24"/>
      <c r="K1228" s="24"/>
      <c r="L1228" s="24"/>
      <c r="M1228" s="25"/>
      <c r="N1228" s="25"/>
      <c r="O1228" s="195"/>
    </row>
    <row r="1229" spans="1:17" ht="15.95" customHeight="1" x14ac:dyDescent="0.25">
      <c r="A1229" s="121"/>
      <c r="B1229" s="23"/>
      <c r="C1229" s="59" t="s">
        <v>32</v>
      </c>
      <c r="D1229" s="68"/>
      <c r="E1229" s="44"/>
      <c r="F1229" s="480"/>
      <c r="G1229" s="484"/>
      <c r="H1229" s="23"/>
      <c r="I1229" s="24"/>
      <c r="J1229" s="24"/>
      <c r="K1229" s="24"/>
      <c r="L1229" s="24"/>
      <c r="M1229" s="25"/>
      <c r="N1229" s="25"/>
      <c r="O1229" s="195"/>
    </row>
    <row r="1230" spans="1:17" ht="15.95" customHeight="1" x14ac:dyDescent="0.25">
      <c r="A1230" s="121"/>
      <c r="B1230" s="23"/>
      <c r="C1230" s="59" t="s">
        <v>64</v>
      </c>
      <c r="D1230" s="68">
        <v>0.2</v>
      </c>
      <c r="E1230" s="24"/>
      <c r="F1230" s="480"/>
      <c r="G1230" s="484"/>
      <c r="H1230" s="23"/>
      <c r="I1230" s="24"/>
      <c r="J1230" s="24"/>
      <c r="K1230" s="24"/>
      <c r="L1230" s="24"/>
      <c r="M1230" s="25"/>
      <c r="N1230" s="25"/>
      <c r="O1230" s="195"/>
    </row>
    <row r="1231" spans="1:17" ht="15.95" customHeight="1" x14ac:dyDescent="0.25">
      <c r="A1231" s="121"/>
      <c r="B1231" s="23"/>
      <c r="C1231" s="60"/>
      <c r="D1231" s="110"/>
      <c r="E1231" s="24"/>
      <c r="F1231" s="480"/>
      <c r="G1231" s="484"/>
      <c r="H1231" s="23"/>
      <c r="I1231" s="24"/>
      <c r="J1231" s="24"/>
      <c r="K1231" s="24"/>
      <c r="L1231" s="24"/>
      <c r="M1231" s="25"/>
      <c r="N1231" s="25"/>
      <c r="O1231" s="195"/>
    </row>
    <row r="1232" spans="1:17" ht="15.95" customHeight="1" x14ac:dyDescent="0.25">
      <c r="A1232" s="121"/>
      <c r="B1232" s="23"/>
      <c r="C1232" s="24"/>
      <c r="D1232" s="24"/>
      <c r="E1232" s="24"/>
      <c r="F1232" s="480"/>
      <c r="G1232" s="484"/>
      <c r="H1232" s="23"/>
      <c r="I1232" s="24"/>
      <c r="J1232" s="24"/>
      <c r="K1232" s="24"/>
      <c r="L1232" s="24"/>
      <c r="M1232" s="25"/>
      <c r="N1232" s="25"/>
      <c r="O1232" s="195"/>
    </row>
    <row r="1233" spans="1:17" ht="15.95" customHeight="1" x14ac:dyDescent="0.25">
      <c r="A1233" s="121"/>
      <c r="B1233" s="23"/>
      <c r="C1233" s="24"/>
      <c r="D1233" s="24"/>
      <c r="E1233" s="24"/>
      <c r="F1233" s="480"/>
      <c r="G1233" s="485"/>
      <c r="H1233" s="23"/>
      <c r="I1233" s="24"/>
      <c r="J1233" s="24"/>
      <c r="K1233" s="24"/>
      <c r="L1233" s="24"/>
      <c r="M1233" s="25"/>
      <c r="N1233" s="25"/>
      <c r="O1233" s="195"/>
    </row>
    <row r="1234" spans="1:17" ht="15.95" customHeight="1" x14ac:dyDescent="0.25">
      <c r="A1234" s="121"/>
      <c r="B1234" s="23"/>
      <c r="C1234" s="24"/>
      <c r="D1234" s="24"/>
      <c r="E1234" s="24"/>
      <c r="F1234" s="480"/>
      <c r="G1234" s="485"/>
      <c r="H1234" s="23"/>
      <c r="I1234" s="24"/>
      <c r="J1234" s="24"/>
      <c r="K1234" s="24"/>
      <c r="L1234" s="24"/>
      <c r="M1234" s="25"/>
      <c r="N1234" s="25"/>
      <c r="O1234" s="195"/>
    </row>
    <row r="1235" spans="1:17" ht="15.95" customHeight="1" x14ac:dyDescent="0.25">
      <c r="A1235" s="121"/>
      <c r="B1235" s="23"/>
      <c r="C1235" s="24"/>
      <c r="D1235" s="24"/>
      <c r="E1235" s="24"/>
      <c r="F1235" s="480"/>
      <c r="G1235" s="485"/>
      <c r="H1235" s="23"/>
      <c r="I1235" s="24"/>
      <c r="J1235" s="24"/>
      <c r="K1235" s="24"/>
      <c r="L1235" s="24"/>
      <c r="M1235" s="25"/>
      <c r="N1235" s="25"/>
      <c r="O1235" s="195"/>
    </row>
    <row r="1236" spans="1:17" ht="15.95" customHeight="1" x14ac:dyDescent="0.25">
      <c r="A1236" s="121"/>
      <c r="B1236" s="23"/>
      <c r="C1236" s="24"/>
      <c r="D1236" s="24"/>
      <c r="E1236" s="24"/>
      <c r="F1236" s="480"/>
      <c r="G1236" s="485"/>
      <c r="H1236" s="26"/>
      <c r="I1236" s="27"/>
      <c r="J1236" s="27"/>
      <c r="K1236" s="27"/>
      <c r="L1236" s="27"/>
      <c r="M1236" s="28"/>
      <c r="N1236" s="25"/>
      <c r="O1236" s="195"/>
    </row>
    <row r="1237" spans="1:17" ht="15.95" customHeight="1" x14ac:dyDescent="0.25">
      <c r="A1237" s="121"/>
      <c r="B1237" s="26"/>
      <c r="C1237" s="27"/>
      <c r="D1237" s="27"/>
      <c r="E1237" s="27"/>
      <c r="F1237" s="481"/>
      <c r="G1237" s="486"/>
      <c r="H1237" s="27"/>
      <c r="I1237" s="27"/>
      <c r="J1237" s="27"/>
      <c r="K1237" s="27"/>
      <c r="L1237" s="27"/>
      <c r="M1237" s="27"/>
      <c r="N1237" s="28"/>
      <c r="O1237" s="195"/>
    </row>
    <row r="1238" spans="1:17" ht="15.95" customHeight="1" x14ac:dyDescent="0.25">
      <c r="A1238" s="121"/>
      <c r="B1238" s="23"/>
      <c r="C1238" s="24"/>
      <c r="D1238" s="24"/>
      <c r="E1238" s="24"/>
      <c r="F1238" s="483"/>
      <c r="G1238" s="483"/>
      <c r="H1238" s="31"/>
      <c r="I1238" s="31"/>
      <c r="J1238" s="24"/>
      <c r="K1238" s="24"/>
      <c r="L1238" s="24"/>
      <c r="M1238" s="24"/>
      <c r="N1238" s="25"/>
      <c r="O1238" s="195"/>
    </row>
    <row r="1239" spans="1:17" ht="15.95" customHeight="1" x14ac:dyDescent="0.25">
      <c r="A1239" s="122" t="s">
        <v>123</v>
      </c>
      <c r="B1239" s="661" t="s">
        <v>157</v>
      </c>
      <c r="C1239" s="662"/>
      <c r="D1239" s="662"/>
      <c r="E1239" s="662"/>
      <c r="F1239" s="662"/>
      <c r="G1239" s="662"/>
      <c r="H1239" s="662"/>
      <c r="I1239" s="662"/>
      <c r="J1239" s="662"/>
      <c r="K1239" s="662"/>
      <c r="L1239" s="662"/>
      <c r="M1239" s="662"/>
      <c r="N1239" s="663"/>
      <c r="O1239" s="194" t="str">
        <f>+D1353</f>
        <v>ON Pyme CNV Garantizada</v>
      </c>
    </row>
    <row r="1240" spans="1:17" ht="20.100000000000001" customHeight="1" x14ac:dyDescent="0.25">
      <c r="A1240" s="121"/>
      <c r="B1240" s="23"/>
      <c r="C1240" s="24"/>
      <c r="D1240" s="24"/>
      <c r="E1240" s="24"/>
      <c r="F1240" s="483"/>
      <c r="G1240" s="484"/>
      <c r="H1240" s="31"/>
      <c r="I1240" s="31"/>
      <c r="J1240" s="24"/>
      <c r="K1240" s="24"/>
      <c r="L1240" s="24"/>
      <c r="M1240" s="24"/>
      <c r="N1240" s="25"/>
      <c r="O1240" s="195"/>
    </row>
    <row r="1241" spans="1:17" ht="15.95" customHeight="1" x14ac:dyDescent="0.25">
      <c r="A1241" s="121"/>
      <c r="B1241" s="23"/>
      <c r="C1241" s="638" t="s">
        <v>37</v>
      </c>
      <c r="D1241" s="639"/>
      <c r="E1241" s="640"/>
      <c r="F1241" s="483"/>
      <c r="G1241" s="484"/>
      <c r="H1241" s="641" t="s">
        <v>28</v>
      </c>
      <c r="I1241" s="642"/>
      <c r="J1241" s="39">
        <f>+$D$1259-SUMIF($H$1247:$H$1252,"&lt;"&amp;$M$4,$K$1247:$K$1252)</f>
        <v>0</v>
      </c>
      <c r="K1241" s="24"/>
      <c r="L1241" s="24"/>
      <c r="M1241" s="24"/>
      <c r="N1241" s="25"/>
      <c r="O1241" s="194" t="str">
        <f>+IF(J1351="vencida",IF(D1353='Reporte - Oscuro'!$C$40,'Reporte - Oscuro'!$C$40&amp;" vencida",IF(D1353='Reporte - Oscuro'!$C$41,'Reporte - Oscuro'!$C$41&amp;" vencida",IF(D1353='Reporte - Oscuro'!$C$42,'Reporte - Oscuro'!$C$42&amp;" vencida",'Reporte - Oscuro'!$C$43&amp;" vencida"))),D1353&amp;" vigente")</f>
        <v>ON Pyme CNV Garantizada vencida</v>
      </c>
    </row>
    <row r="1242" spans="1:17" ht="20.100000000000001" customHeight="1" x14ac:dyDescent="0.25">
      <c r="A1242" s="121"/>
      <c r="B1242" s="23"/>
      <c r="C1242" s="58"/>
      <c r="D1242" s="664"/>
      <c r="E1242" s="665"/>
      <c r="F1242" s="483"/>
      <c r="G1242" s="484"/>
      <c r="H1242" s="645" t="s">
        <v>29</v>
      </c>
      <c r="I1242" s="646"/>
      <c r="J1242" s="40">
        <f>+$D$1258</f>
        <v>44169</v>
      </c>
      <c r="K1242" s="24"/>
      <c r="L1242" s="24"/>
      <c r="M1242" s="24"/>
      <c r="N1242" s="25"/>
      <c r="O1242" s="195"/>
    </row>
    <row r="1243" spans="1:17" ht="15.95" customHeight="1" x14ac:dyDescent="0.25">
      <c r="A1243" s="121"/>
      <c r="B1243" s="23"/>
      <c r="C1243" s="59" t="s">
        <v>25</v>
      </c>
      <c r="D1243" s="658"/>
      <c r="E1243" s="659"/>
      <c r="F1243" s="483"/>
      <c r="G1243" s="484"/>
      <c r="H1243" s="649" t="s">
        <v>30</v>
      </c>
      <c r="I1243" s="650"/>
      <c r="J1243" s="42" t="str">
        <f t="array" ref="J1243">+IF(H1252&gt;=M4,MIN(IF(H1247:H1252&gt;=$M$4,H1247:H1252,"")),"vencida")</f>
        <v>vencida</v>
      </c>
      <c r="K1243" s="24"/>
      <c r="L1243" s="24"/>
      <c r="M1243" s="24"/>
      <c r="N1243" s="25"/>
      <c r="O1243" s="195"/>
    </row>
    <row r="1244" spans="1:17" ht="20.100000000000001" customHeight="1" x14ac:dyDescent="0.25">
      <c r="A1244" s="121"/>
      <c r="B1244" s="23"/>
      <c r="C1244" s="59" t="s">
        <v>6</v>
      </c>
      <c r="D1244" s="658" t="s">
        <v>156</v>
      </c>
      <c r="E1244" s="659"/>
      <c r="F1244" s="483"/>
      <c r="G1244" s="484"/>
      <c r="H1244" s="24"/>
      <c r="I1244" s="24"/>
      <c r="J1244" s="24"/>
      <c r="K1244" s="24"/>
      <c r="L1244" s="24"/>
      <c r="M1244" s="24"/>
      <c r="N1244" s="25"/>
      <c r="O1244" s="195"/>
    </row>
    <row r="1245" spans="1:17" ht="15.95" customHeight="1" x14ac:dyDescent="0.25">
      <c r="A1245" s="121"/>
      <c r="B1245" s="23"/>
      <c r="C1245" s="59" t="s">
        <v>8</v>
      </c>
      <c r="D1245" s="658" t="s">
        <v>17</v>
      </c>
      <c r="E1245" s="659"/>
      <c r="F1245" s="483"/>
      <c r="G1245" s="484"/>
      <c r="H1245" s="651" t="s">
        <v>41</v>
      </c>
      <c r="I1245" s="652"/>
      <c r="J1245" s="652"/>
      <c r="K1245" s="652"/>
      <c r="L1245" s="653"/>
      <c r="M1245" s="24"/>
      <c r="N1245" s="25"/>
      <c r="O1245" s="195"/>
    </row>
    <row r="1246" spans="1:17" ht="15.95" customHeight="1" x14ac:dyDescent="0.25">
      <c r="A1246" s="121"/>
      <c r="B1246" s="23"/>
      <c r="C1246" s="59" t="s">
        <v>33</v>
      </c>
      <c r="D1246" s="73" t="s">
        <v>309</v>
      </c>
      <c r="E1246" s="273">
        <v>1</v>
      </c>
      <c r="F1246" s="483">
        <f>+E1246*J1241</f>
        <v>0</v>
      </c>
      <c r="G1246" s="484"/>
      <c r="H1246" s="81" t="s">
        <v>0</v>
      </c>
      <c r="I1246" s="82" t="s">
        <v>2</v>
      </c>
      <c r="J1246" s="82" t="s">
        <v>3</v>
      </c>
      <c r="K1246" s="82" t="s">
        <v>4</v>
      </c>
      <c r="L1246" s="83" t="s">
        <v>5</v>
      </c>
      <c r="M1246" s="82" t="s">
        <v>44</v>
      </c>
      <c r="N1246" s="25"/>
      <c r="O1246" s="197">
        <f>+M1356</f>
        <v>-18000000</v>
      </c>
      <c r="P1246" s="197">
        <f>-M1356</f>
        <v>18000000</v>
      </c>
      <c r="Q1246" s="197"/>
    </row>
    <row r="1247" spans="1:17" ht="15.95" customHeight="1" x14ac:dyDescent="0.25">
      <c r="A1247" s="121"/>
      <c r="B1247" s="23"/>
      <c r="C1247" s="59" t="s">
        <v>34</v>
      </c>
      <c r="D1247" s="658" t="s">
        <v>48</v>
      </c>
      <c r="E1247" s="659"/>
      <c r="F1247" s="483"/>
      <c r="G1247" s="484"/>
      <c r="H1247" s="45"/>
      <c r="I1247" s="46"/>
      <c r="J1247" s="46"/>
      <c r="K1247" s="46"/>
      <c r="L1247" s="47"/>
      <c r="M1247" s="23"/>
      <c r="N1247" s="25"/>
      <c r="O1247" s="197">
        <f>+M1357+O1246</f>
        <v>-8175500</v>
      </c>
      <c r="P1247" s="197">
        <f>+(M1357/(1+$J$1364)^((H1357-$H$1356)/365))/$P$1246</f>
        <v>0.54580555555555554</v>
      </c>
      <c r="Q1247" s="197">
        <f>+P1247*((H1357-$H$1356)/365)</f>
        <v>0.27514581430745816</v>
      </c>
    </row>
    <row r="1248" spans="1:17" ht="15.95" customHeight="1" x14ac:dyDescent="0.25">
      <c r="A1248" s="121"/>
      <c r="B1248" s="23"/>
      <c r="C1248" s="79" t="s">
        <v>38</v>
      </c>
      <c r="D1248" s="75"/>
      <c r="E1248" s="76"/>
      <c r="F1248" s="483"/>
      <c r="G1248" s="484"/>
      <c r="H1248" s="48">
        <f>+$D$1257</f>
        <v>43438</v>
      </c>
      <c r="I1248" s="70"/>
      <c r="J1248" s="49"/>
      <c r="K1248" s="49"/>
      <c r="L1248" s="50">
        <f>+D1259</f>
        <v>2000000</v>
      </c>
      <c r="M1248" s="93">
        <f>-L1248</f>
        <v>-2000000</v>
      </c>
      <c r="N1248" s="25"/>
      <c r="O1248" s="197">
        <f>+M1358+O1247</f>
        <v>-612781.25</v>
      </c>
      <c r="P1248" s="197">
        <f>+(M1358/(1+$J$1364)^((H1358-$H$1356)/365))/$P$1246</f>
        <v>0.42015104166666667</v>
      </c>
      <c r="Q1248" s="197">
        <f>+P1248*((H1358-$H$1356)/365)</f>
        <v>0.42130214041095893</v>
      </c>
    </row>
    <row r="1249" spans="1:17" x14ac:dyDescent="0.25">
      <c r="A1249" s="121"/>
      <c r="B1249" s="23"/>
      <c r="C1249" s="59"/>
      <c r="D1249" s="73"/>
      <c r="E1249" s="74"/>
      <c r="F1249" s="483"/>
      <c r="G1249" s="484"/>
      <c r="H1249" s="51">
        <f>IF(DAY(H1248)=DAY($H$1248),IF(WEEKDAY(EDATE(H1248,$D$1260),3)&lt;5,EDATE(H1248,$D$1260),WORKDAY(EDATE(H1248,$D$1260),1)),IF(WEEKDAY(EDATE($H$1248,$D$1260*COUNT($H$1248:H1248)),3)&lt;5,EDATE($H$1248,$D$1260*COUNT($H$1248:H1248)),WORKDAY(EDATE($H$1248,$D$1260*COUNT($H$1248:H1248)),1)))</f>
        <v>43620</v>
      </c>
      <c r="I1249" s="71" t="s">
        <v>13</v>
      </c>
      <c r="J1249" s="52">
        <v>591815.97222222236</v>
      </c>
      <c r="K1249" s="52">
        <f>+IF(OR(I1249="A + C",I1249="A"),$D$1259*$D$1265,0)</f>
        <v>500000</v>
      </c>
      <c r="L1249" s="53">
        <f>+L1248-K1249</f>
        <v>1500000</v>
      </c>
      <c r="M1249" s="94">
        <f>+J1249+K1249</f>
        <v>1091815.9722222225</v>
      </c>
      <c r="N1249" s="25"/>
      <c r="O1249" s="197">
        <f>+M1359+O1248</f>
        <v>5474031.25</v>
      </c>
      <c r="P1249" s="197">
        <f>+(M1359/(1+$J$1364)^((H1359-$H$1356)/365))/$P$1246</f>
        <v>0.33815624999999999</v>
      </c>
      <c r="Q1249" s="197">
        <f>+P1249*((H1359-$H$1356)/365)</f>
        <v>0.51140342465753419</v>
      </c>
    </row>
    <row r="1250" spans="1:17" x14ac:dyDescent="0.25">
      <c r="A1250" s="121"/>
      <c r="B1250" s="23"/>
      <c r="C1250" s="60"/>
      <c r="D1250" s="77"/>
      <c r="E1250" s="78"/>
      <c r="F1250" s="483"/>
      <c r="G1250" s="484"/>
      <c r="H1250" s="51">
        <f>IF(DAY(H1249)=DAY($H$1248),IF(WEEKDAY(EDATE(H1249,$D$1260),3)&lt;5,EDATE(H1249,$D$1260),WORKDAY(EDATE(H1249,$D$1260),1)),IF(WEEKDAY(EDATE($H$1248,$D$1260*COUNT($H$1248:H1249)),3)&lt;5,EDATE($H$1248,$D$1260*COUNT($H$1248:H1249)),WORKDAY(EDATE($H$1248,$D$1260*COUNT($H$1248:H1249)),1)))</f>
        <v>43803</v>
      </c>
      <c r="I1250" s="71" t="s">
        <v>13</v>
      </c>
      <c r="J1250" s="52">
        <v>425332.03125</v>
      </c>
      <c r="K1250" s="52">
        <f>+IF(OR(I1250="A + C",I1250="A"),$D$1259*$D$1265,0)</f>
        <v>500000</v>
      </c>
      <c r="L1250" s="53">
        <f>+L1249-K1250</f>
        <v>1000000</v>
      </c>
      <c r="M1250" s="94">
        <f>+J1250+K1250</f>
        <v>925332.03125</v>
      </c>
      <c r="N1250" s="25"/>
      <c r="O1250" s="197">
        <f>+M1360+O1249</f>
        <v>10737578.125</v>
      </c>
      <c r="P1250" s="197">
        <f>+(M1360/(1+$J$1364)^((H1360-$H$1356)/365))/$P$1246</f>
        <v>0.29241927083333336</v>
      </c>
      <c r="Q1250" s="197">
        <f>+P1250*((H1360-$H$1356)/365)</f>
        <v>0.5856396903538813</v>
      </c>
    </row>
    <row r="1251" spans="1:17" x14ac:dyDescent="0.25">
      <c r="A1251" s="121"/>
      <c r="B1251" s="23"/>
      <c r="C1251" s="60"/>
      <c r="D1251" s="55" t="str">
        <f>+B1239</f>
        <v>Fertil Tecnologias I</v>
      </c>
      <c r="E1251" s="64"/>
      <c r="F1251" s="483"/>
      <c r="G1251" s="484">
        <f>+J1241</f>
        <v>0</v>
      </c>
      <c r="H1251" s="51">
        <f>IF(DAY(H1250)=DAY($H$1248),IF(WEEKDAY(EDATE(H1250,$D$1260),3)&lt;5,EDATE(H1250,$D$1260),WORKDAY(EDATE(H1250,$D$1260),1)),IF(WEEKDAY(EDATE($H$1248,$D$1260*COUNT($H$1248:H1250)),3)&lt;5,EDATE($H$1248,$D$1260*COUNT($H$1248:H1250)),WORKDAY(EDATE($H$1248,$D$1260*COUNT($H$1248:H1250)),1)))</f>
        <v>43986</v>
      </c>
      <c r="I1251" s="71" t="s">
        <v>13</v>
      </c>
      <c r="J1251" s="52">
        <v>215247.39583333331</v>
      </c>
      <c r="K1251" s="52">
        <f>+IF(OR(I1251="A + C",I1251="A"),$D$1259*$D$1265,0)</f>
        <v>500000</v>
      </c>
      <c r="L1251" s="53">
        <f>+L1250-K1251</f>
        <v>500000</v>
      </c>
      <c r="M1251" s="94">
        <f>+J1251+K1251</f>
        <v>715247.39583333326</v>
      </c>
      <c r="N1251" s="25"/>
      <c r="O1251" s="197"/>
      <c r="P1251" s="197"/>
      <c r="Q1251" s="197"/>
    </row>
    <row r="1252" spans="1:17" x14ac:dyDescent="0.25">
      <c r="A1252" s="121"/>
      <c r="B1252" s="32"/>
      <c r="D1252" s="644"/>
      <c r="E1252" s="660"/>
      <c r="F1252" s="483"/>
      <c r="G1252" s="484"/>
      <c r="H1252" s="51">
        <f>IF(DAY(H1251)=DAY($H$1248),IF(WEEKDAY(EDATE(H1251,$D$1260),3)&lt;5,EDATE(H1251,$D$1260),WORKDAY(EDATE(H1251,$D$1260),1)),IF(WEEKDAY(EDATE($H$1248,$D$1260*COUNT($H$1248:H1251)),3)&lt;5,EDATE($H$1248,$D$1260*COUNT($H$1248:H1251)),WORKDAY(EDATE($H$1248,$D$1260*COUNT($H$1248:H1251)),1)))</f>
        <v>44169</v>
      </c>
      <c r="I1252" s="71" t="s">
        <v>13</v>
      </c>
      <c r="J1252" s="52">
        <v>84192.708333333328</v>
      </c>
      <c r="K1252" s="52">
        <f>+IF(OR(I1252="A + C",I1252="A"),$D$1259*$D$1265,0)</f>
        <v>500000</v>
      </c>
      <c r="L1252" s="53">
        <f>+L1251-K1252</f>
        <v>0</v>
      </c>
      <c r="M1252" s="94">
        <f>+J1252+K1252</f>
        <v>584192.70833333337</v>
      </c>
      <c r="N1252" s="25"/>
      <c r="O1252" s="197"/>
      <c r="P1252" s="197"/>
      <c r="Q1252" s="197"/>
    </row>
    <row r="1253" spans="1:17" ht="15" x14ac:dyDescent="0.25">
      <c r="A1253" s="121"/>
      <c r="B1253" s="23"/>
      <c r="C1253" s="638" t="s">
        <v>36</v>
      </c>
      <c r="D1253" s="640"/>
      <c r="E1253" s="36"/>
      <c r="F1253" s="483"/>
      <c r="G1253" s="484"/>
      <c r="H1253" s="54"/>
      <c r="I1253" s="104"/>
      <c r="J1253" s="105"/>
      <c r="K1253" s="105"/>
      <c r="L1253" s="106"/>
      <c r="M1253" s="94"/>
      <c r="N1253" s="25"/>
      <c r="O1253" s="197"/>
      <c r="P1253" s="29"/>
    </row>
    <row r="1254" spans="1:17" x14ac:dyDescent="0.25">
      <c r="A1254" s="121"/>
      <c r="B1254" s="23"/>
      <c r="C1254" s="59"/>
      <c r="D1254" s="62"/>
      <c r="E1254" s="36"/>
      <c r="F1254" s="483"/>
      <c r="G1254" s="484"/>
      <c r="H1254" s="109"/>
      <c r="I1254" s="109"/>
      <c r="J1254" s="109"/>
      <c r="K1254" s="109"/>
      <c r="L1254" s="109"/>
      <c r="M1254" s="109"/>
      <c r="N1254" s="25"/>
      <c r="O1254" s="197"/>
      <c r="P1254" s="29"/>
    </row>
    <row r="1255" spans="1:17" ht="15" x14ac:dyDescent="0.25">
      <c r="A1255" s="121"/>
      <c r="B1255" s="23"/>
      <c r="C1255" s="59" t="s">
        <v>9</v>
      </c>
      <c r="D1255" s="98" t="s">
        <v>18</v>
      </c>
      <c r="E1255" s="36"/>
      <c r="F1255" s="483"/>
      <c r="G1255" s="484"/>
      <c r="H1255" s="656" t="s">
        <v>43</v>
      </c>
      <c r="I1255" s="656"/>
      <c r="J1255" s="92">
        <v>0</v>
      </c>
      <c r="K1255" s="92"/>
      <c r="L1255" s="24"/>
      <c r="M1255" s="24"/>
      <c r="N1255" s="25"/>
      <c r="O1255" s="197"/>
      <c r="P1255" s="29"/>
    </row>
    <row r="1256" spans="1:17" ht="15" x14ac:dyDescent="0.25">
      <c r="A1256" s="121"/>
      <c r="B1256" s="23"/>
      <c r="C1256" s="59" t="s">
        <v>10</v>
      </c>
      <c r="D1256" s="65">
        <v>43431</v>
      </c>
      <c r="E1256" s="36"/>
      <c r="F1256" s="483"/>
      <c r="G1256" s="484"/>
      <c r="H1256" s="657"/>
      <c r="I1256" s="657"/>
      <c r="J1256" s="392"/>
      <c r="K1256" s="24"/>
      <c r="L1256" s="33"/>
      <c r="M1256" s="33"/>
      <c r="N1256" s="25"/>
      <c r="O1256" s="197"/>
    </row>
    <row r="1257" spans="1:17" x14ac:dyDescent="0.25">
      <c r="A1257" s="121"/>
      <c r="B1257" s="23"/>
      <c r="C1257" s="59" t="s">
        <v>11</v>
      </c>
      <c r="D1257" s="65">
        <v>43438</v>
      </c>
      <c r="E1257" s="36"/>
      <c r="F1257" s="483"/>
      <c r="G1257" s="484"/>
      <c r="H1257" s="24"/>
      <c r="I1257" s="24"/>
      <c r="J1257" s="24"/>
      <c r="K1257" s="24"/>
      <c r="L1257" s="24"/>
      <c r="M1257" s="24"/>
      <c r="N1257" s="25"/>
      <c r="O1257" s="197"/>
      <c r="P1257" s="37"/>
    </row>
    <row r="1258" spans="1:17" ht="15" x14ac:dyDescent="0.25">
      <c r="A1258" s="121"/>
      <c r="B1258" s="23"/>
      <c r="C1258" s="59" t="s">
        <v>12</v>
      </c>
      <c r="D1258" s="65">
        <v>44169</v>
      </c>
      <c r="E1258" s="36"/>
      <c r="F1258" s="483"/>
      <c r="G1258" s="484"/>
      <c r="H1258" s="638" t="s">
        <v>44</v>
      </c>
      <c r="I1258" s="639"/>
      <c r="J1258" s="639"/>
      <c r="K1258" s="639"/>
      <c r="L1258" s="639"/>
      <c r="M1258" s="640"/>
      <c r="N1258" s="25"/>
      <c r="O1258" s="197"/>
    </row>
    <row r="1259" spans="1:17" x14ac:dyDescent="0.25">
      <c r="A1259" s="121"/>
      <c r="B1259" s="23"/>
      <c r="C1259" s="59" t="s">
        <v>27</v>
      </c>
      <c r="D1259" s="66">
        <v>2000000</v>
      </c>
      <c r="E1259" s="41"/>
      <c r="F1259" s="480"/>
      <c r="G1259" s="484"/>
      <c r="H1259" s="23"/>
      <c r="I1259" s="24"/>
      <c r="J1259" s="24"/>
      <c r="K1259" s="24"/>
      <c r="L1259" s="24"/>
      <c r="M1259" s="25"/>
      <c r="N1259" s="25"/>
      <c r="O1259" s="195"/>
    </row>
    <row r="1260" spans="1:17" x14ac:dyDescent="0.25">
      <c r="A1260" s="121"/>
      <c r="B1260" s="23"/>
      <c r="C1260" s="59" t="s">
        <v>26</v>
      </c>
      <c r="D1260" s="66">
        <v>6</v>
      </c>
      <c r="E1260" s="36"/>
      <c r="F1260" s="480"/>
      <c r="G1260" s="484"/>
      <c r="H1260" s="23"/>
      <c r="I1260" s="24"/>
      <c r="J1260" s="24"/>
      <c r="K1260" s="24"/>
      <c r="L1260" s="24"/>
      <c r="M1260" s="25"/>
      <c r="N1260" s="25"/>
      <c r="O1260" s="195"/>
    </row>
    <row r="1261" spans="1:17" x14ac:dyDescent="0.25">
      <c r="A1261" s="121"/>
      <c r="B1261" s="23"/>
      <c r="C1261" s="59" t="s">
        <v>19</v>
      </c>
      <c r="D1261" s="67" t="s">
        <v>20</v>
      </c>
      <c r="E1261" s="43"/>
      <c r="F1261" s="480"/>
      <c r="G1261" s="484"/>
      <c r="H1261" s="96"/>
      <c r="I1261" s="35"/>
      <c r="J1261" s="24"/>
      <c r="K1261" s="24"/>
      <c r="L1261" s="24"/>
      <c r="M1261" s="25"/>
      <c r="N1261" s="25"/>
      <c r="O1261" s="195"/>
    </row>
    <row r="1262" spans="1:17" x14ac:dyDescent="0.25">
      <c r="A1262" s="121"/>
      <c r="B1262" s="23"/>
      <c r="C1262" s="59" t="s">
        <v>14</v>
      </c>
      <c r="D1262" s="68">
        <v>7.0000000000000007E-2</v>
      </c>
      <c r="E1262" s="43"/>
      <c r="F1262" s="480"/>
      <c r="G1262" s="484"/>
      <c r="H1262" s="23"/>
      <c r="I1262" s="24"/>
      <c r="J1262" s="24"/>
      <c r="K1262" s="24"/>
      <c r="L1262" s="24"/>
      <c r="M1262" s="25"/>
      <c r="N1262" s="25"/>
      <c r="O1262" s="195"/>
    </row>
    <row r="1263" spans="1:17" x14ac:dyDescent="0.25">
      <c r="A1263" s="121"/>
      <c r="B1263" s="23"/>
      <c r="C1263" s="59" t="s">
        <v>31</v>
      </c>
      <c r="D1263" s="68"/>
      <c r="E1263" s="43"/>
      <c r="F1263" s="480"/>
      <c r="G1263" s="484"/>
      <c r="H1263" s="23"/>
      <c r="I1263" s="24"/>
      <c r="J1263" s="24"/>
      <c r="K1263" s="24"/>
      <c r="L1263" s="24"/>
      <c r="M1263" s="25"/>
      <c r="N1263" s="25"/>
      <c r="O1263" s="195"/>
    </row>
    <row r="1264" spans="1:17" x14ac:dyDescent="0.25">
      <c r="A1264" s="121"/>
      <c r="B1264" s="23"/>
      <c r="C1264" s="59" t="s">
        <v>32</v>
      </c>
      <c r="D1264" s="68"/>
      <c r="E1264" s="44"/>
      <c r="F1264" s="480"/>
      <c r="G1264" s="484"/>
      <c r="H1264" s="23"/>
      <c r="I1264" s="24"/>
      <c r="J1264" s="24"/>
      <c r="K1264" s="24"/>
      <c r="L1264" s="24"/>
      <c r="M1264" s="25"/>
      <c r="N1264" s="25"/>
      <c r="O1264" s="195"/>
    </row>
    <row r="1265" spans="1:17" x14ac:dyDescent="0.25">
      <c r="A1265" s="121"/>
      <c r="B1265" s="23"/>
      <c r="C1265" s="59" t="s">
        <v>64</v>
      </c>
      <c r="D1265" s="68">
        <v>0.25</v>
      </c>
      <c r="E1265" s="24"/>
      <c r="F1265" s="480"/>
      <c r="G1265" s="484"/>
      <c r="H1265" s="23"/>
      <c r="I1265" s="24"/>
      <c r="J1265" s="24"/>
      <c r="K1265" s="24"/>
      <c r="L1265" s="24"/>
      <c r="M1265" s="25"/>
      <c r="N1265" s="25"/>
      <c r="O1265" s="195"/>
    </row>
    <row r="1266" spans="1:17" x14ac:dyDescent="0.25">
      <c r="A1266" s="121"/>
      <c r="B1266" s="23"/>
      <c r="C1266" s="60"/>
      <c r="D1266" s="110"/>
      <c r="E1266" s="24"/>
      <c r="F1266" s="480"/>
      <c r="G1266" s="484"/>
      <c r="H1266" s="23"/>
      <c r="I1266" s="24"/>
      <c r="J1266" s="24"/>
      <c r="K1266" s="24"/>
      <c r="L1266" s="24"/>
      <c r="M1266" s="25"/>
      <c r="N1266" s="25"/>
      <c r="O1266" s="195"/>
    </row>
    <row r="1267" spans="1:17" x14ac:dyDescent="0.25">
      <c r="A1267" s="121"/>
      <c r="B1267" s="23"/>
      <c r="C1267" s="24"/>
      <c r="D1267" s="24"/>
      <c r="E1267" s="24"/>
      <c r="F1267" s="480"/>
      <c r="G1267" s="484"/>
      <c r="H1267" s="23"/>
      <c r="I1267" s="24"/>
      <c r="J1267" s="24"/>
      <c r="K1267" s="24"/>
      <c r="L1267" s="24"/>
      <c r="M1267" s="25"/>
      <c r="N1267" s="25"/>
      <c r="O1267" s="195"/>
    </row>
    <row r="1268" spans="1:17" x14ac:dyDescent="0.25">
      <c r="A1268" s="121"/>
      <c r="B1268" s="23"/>
      <c r="C1268" s="24"/>
      <c r="D1268" s="24"/>
      <c r="E1268" s="24"/>
      <c r="F1268" s="480"/>
      <c r="G1268" s="485"/>
      <c r="H1268" s="23"/>
      <c r="I1268" s="24"/>
      <c r="J1268" s="24"/>
      <c r="K1268" s="24"/>
      <c r="L1268" s="24"/>
      <c r="M1268" s="25"/>
      <c r="N1268" s="25"/>
      <c r="O1268" s="195"/>
    </row>
    <row r="1269" spans="1:17" x14ac:dyDescent="0.25">
      <c r="A1269" s="121"/>
      <c r="B1269" s="23"/>
      <c r="C1269" s="24"/>
      <c r="D1269" s="24"/>
      <c r="E1269" s="24"/>
      <c r="F1269" s="480"/>
      <c r="G1269" s="485"/>
      <c r="H1269" s="23"/>
      <c r="I1269" s="24"/>
      <c r="J1269" s="24"/>
      <c r="K1269" s="24"/>
      <c r="L1269" s="24"/>
      <c r="M1269" s="25"/>
      <c r="N1269" s="25"/>
      <c r="O1269" s="195"/>
    </row>
    <row r="1270" spans="1:17" x14ac:dyDescent="0.25">
      <c r="A1270" s="121"/>
      <c r="B1270" s="23"/>
      <c r="C1270" s="24"/>
      <c r="D1270" s="24"/>
      <c r="E1270" s="24"/>
      <c r="F1270" s="480"/>
      <c r="G1270" s="485"/>
      <c r="H1270" s="23"/>
      <c r="I1270" s="24"/>
      <c r="J1270" s="24"/>
      <c r="K1270" s="24"/>
      <c r="L1270" s="24"/>
      <c r="M1270" s="25"/>
      <c r="N1270" s="25"/>
      <c r="O1270" s="195"/>
    </row>
    <row r="1271" spans="1:17" x14ac:dyDescent="0.25">
      <c r="A1271" s="121"/>
      <c r="B1271" s="23"/>
      <c r="C1271" s="24"/>
      <c r="D1271" s="24"/>
      <c r="E1271" s="24"/>
      <c r="F1271" s="480"/>
      <c r="G1271" s="485"/>
      <c r="H1271" s="26"/>
      <c r="I1271" s="27"/>
      <c r="J1271" s="27"/>
      <c r="K1271" s="27"/>
      <c r="L1271" s="27"/>
      <c r="M1271" s="28"/>
      <c r="N1271" s="25"/>
      <c r="O1271" s="195"/>
    </row>
    <row r="1272" spans="1:17" x14ac:dyDescent="0.25">
      <c r="A1272" s="121"/>
      <c r="B1272" s="26"/>
      <c r="C1272" s="27"/>
      <c r="D1272" s="27"/>
      <c r="E1272" s="27"/>
      <c r="F1272" s="481"/>
      <c r="G1272" s="486"/>
      <c r="H1272" s="27"/>
      <c r="I1272" s="27"/>
      <c r="J1272" s="27"/>
      <c r="K1272" s="27"/>
      <c r="L1272" s="27"/>
      <c r="M1272" s="27"/>
      <c r="N1272" s="28"/>
      <c r="O1272" s="195"/>
    </row>
    <row r="1273" spans="1:17" ht="15" customHeight="1" x14ac:dyDescent="0.25">
      <c r="A1273" s="122" t="s">
        <v>124</v>
      </c>
      <c r="B1273" s="661" t="s">
        <v>365</v>
      </c>
      <c r="C1273" s="662"/>
      <c r="D1273" s="662"/>
      <c r="E1273" s="662"/>
      <c r="F1273" s="662"/>
      <c r="G1273" s="662"/>
      <c r="H1273" s="662"/>
      <c r="I1273" s="662"/>
      <c r="J1273" s="662"/>
      <c r="K1273" s="662"/>
      <c r="L1273" s="662"/>
      <c r="M1273" s="662"/>
      <c r="N1273" s="663"/>
      <c r="O1273" s="195"/>
    </row>
    <row r="1274" spans="1:17" ht="12" customHeight="1" x14ac:dyDescent="0.25">
      <c r="A1274" s="121"/>
      <c r="B1274" s="23"/>
      <c r="C1274" s="24"/>
      <c r="D1274" s="24"/>
      <c r="E1274" s="24"/>
      <c r="F1274" s="483"/>
      <c r="G1274" s="484"/>
      <c r="H1274" s="31"/>
      <c r="I1274" s="31"/>
      <c r="J1274" s="24"/>
      <c r="K1274" s="24"/>
      <c r="L1274" s="24"/>
      <c r="M1274" s="24"/>
      <c r="N1274" s="25"/>
      <c r="O1274" s="194" t="str">
        <f>+IF(J1385="vencida",IF(D1387='Reporte - Oscuro'!$C$40,'Reporte - Oscuro'!$C$40&amp;" vencida",IF(D1387='Reporte - Oscuro'!$C$41,'Reporte - Oscuro'!$C$41&amp;" vencida",IF(D1387='Reporte - Oscuro'!$C$42,'Reporte - Oscuro'!$C$42&amp;" vencida",'Reporte - Oscuro'!$C$43&amp;" vencida"))),D1387&amp;" vigente")</f>
        <v>ON Pyme CNV Garantizada vencida</v>
      </c>
    </row>
    <row r="1275" spans="1:17" ht="15" x14ac:dyDescent="0.25">
      <c r="A1275" s="121"/>
      <c r="B1275" s="23"/>
      <c r="C1275" s="638" t="s">
        <v>37</v>
      </c>
      <c r="D1275" s="639"/>
      <c r="E1275" s="640"/>
      <c r="F1275" s="483"/>
      <c r="G1275" s="484"/>
      <c r="H1275" s="641" t="s">
        <v>28</v>
      </c>
      <c r="I1275" s="642"/>
      <c r="J1275" s="39">
        <f>+$D$1293-SUMIF($H$1282:$H$1286,"&lt;"&amp;$M$4,$K$1282:$K$1286)</f>
        <v>0</v>
      </c>
      <c r="K1275" s="24"/>
      <c r="L1275" s="24"/>
      <c r="M1275" s="24"/>
      <c r="N1275" s="25"/>
      <c r="O1275" s="195"/>
    </row>
    <row r="1276" spans="1:17" ht="15" x14ac:dyDescent="0.25">
      <c r="A1276" s="121"/>
      <c r="B1276" s="23"/>
      <c r="C1276" s="58"/>
      <c r="D1276" s="664"/>
      <c r="E1276" s="665"/>
      <c r="F1276" s="483"/>
      <c r="G1276" s="484"/>
      <c r="H1276" s="645" t="s">
        <v>29</v>
      </c>
      <c r="I1276" s="646"/>
      <c r="J1276" s="40">
        <f>+$D$1292</f>
        <v>45379</v>
      </c>
      <c r="K1276" s="24"/>
      <c r="L1276" s="24"/>
      <c r="M1276" s="24"/>
      <c r="N1276" s="25"/>
      <c r="O1276" s="195"/>
    </row>
    <row r="1277" spans="1:17" ht="15.95" customHeight="1" x14ac:dyDescent="0.25">
      <c r="A1277" s="121"/>
      <c r="B1277" s="23"/>
      <c r="C1277" s="59" t="s">
        <v>25</v>
      </c>
      <c r="D1277" s="658"/>
      <c r="E1277" s="659"/>
      <c r="F1277" s="483"/>
      <c r="G1277" s="484"/>
      <c r="H1277" s="649" t="s">
        <v>30</v>
      </c>
      <c r="I1277" s="650"/>
      <c r="J1277" s="42" t="str">
        <f t="array" ref="J1277">+IF(H1286&gt;=$M$4,MIN(IF(H1281:H1286&gt;=$M$4,H1281:H1286,"")),"vencida")</f>
        <v>vencida</v>
      </c>
      <c r="K1277" s="24"/>
      <c r="L1277" s="24"/>
      <c r="M1277" s="24"/>
      <c r="N1277" s="25"/>
      <c r="O1277" s="195"/>
    </row>
    <row r="1278" spans="1:17" ht="20.100000000000001" customHeight="1" x14ac:dyDescent="0.25">
      <c r="A1278" s="121"/>
      <c r="B1278" s="23"/>
      <c r="C1278" s="59" t="s">
        <v>6</v>
      </c>
      <c r="D1278" s="658" t="s">
        <v>366</v>
      </c>
      <c r="E1278" s="659"/>
      <c r="F1278" s="483"/>
      <c r="G1278" s="484"/>
      <c r="H1278" s="24"/>
      <c r="I1278" s="24"/>
      <c r="J1278" s="24"/>
      <c r="K1278" s="24"/>
      <c r="L1278" s="24"/>
      <c r="M1278" s="24"/>
      <c r="N1278" s="25"/>
      <c r="O1278" s="195"/>
    </row>
    <row r="1279" spans="1:17" ht="15.95" customHeight="1" x14ac:dyDescent="0.25">
      <c r="A1279" s="121"/>
      <c r="B1279" s="23"/>
      <c r="C1279" s="59" t="s">
        <v>8</v>
      </c>
      <c r="D1279" s="658" t="s">
        <v>17</v>
      </c>
      <c r="E1279" s="659"/>
      <c r="F1279" s="483"/>
      <c r="G1279" s="484"/>
      <c r="H1279" s="651" t="s">
        <v>41</v>
      </c>
      <c r="I1279" s="652"/>
      <c r="J1279" s="652"/>
      <c r="K1279" s="652"/>
      <c r="L1279" s="653"/>
      <c r="M1279" s="24"/>
      <c r="N1279" s="25"/>
      <c r="O1279" s="197">
        <f>+M1390</f>
        <v>-40000000</v>
      </c>
      <c r="P1279" s="197">
        <f>-M1390</f>
        <v>40000000</v>
      </c>
      <c r="Q1279" s="197"/>
    </row>
    <row r="1280" spans="1:17" ht="15.95" customHeight="1" x14ac:dyDescent="0.25">
      <c r="A1280" s="121"/>
      <c r="B1280" s="23"/>
      <c r="C1280" s="59" t="s">
        <v>33</v>
      </c>
      <c r="D1280" s="73" t="s">
        <v>308</v>
      </c>
      <c r="E1280" s="273">
        <v>1</v>
      </c>
      <c r="F1280" s="483">
        <f>+E1280*J1275</f>
        <v>0</v>
      </c>
      <c r="G1280" s="484"/>
      <c r="H1280" s="81" t="s">
        <v>0</v>
      </c>
      <c r="I1280" s="82" t="s">
        <v>2</v>
      </c>
      <c r="J1280" s="82" t="s">
        <v>3</v>
      </c>
      <c r="K1280" s="82" t="s">
        <v>4</v>
      </c>
      <c r="L1280" s="83" t="s">
        <v>5</v>
      </c>
      <c r="M1280" s="83" t="s">
        <v>44</v>
      </c>
      <c r="N1280" s="25"/>
      <c r="O1280" s="197">
        <f t="shared" ref="O1280:O1286" si="110">+M1391+O1279</f>
        <v>-26775972.602739725</v>
      </c>
      <c r="P1280" s="197" t="e">
        <f>+(M1391/(1+#REF!)^((H1391-$H$1390)/365))/$P$1279</f>
        <v>#REF!</v>
      </c>
      <c r="Q1280" s="197" t="e">
        <f t="shared" ref="Q1280:Q1286" si="111">+P1280*((H1391-$H$1390)/365)</f>
        <v>#REF!</v>
      </c>
    </row>
    <row r="1281" spans="1:17" ht="15.95" customHeight="1" x14ac:dyDescent="0.25">
      <c r="A1281" s="121"/>
      <c r="B1281" s="23"/>
      <c r="C1281" s="59" t="s">
        <v>34</v>
      </c>
      <c r="D1281" s="658" t="s">
        <v>48</v>
      </c>
      <c r="E1281" s="659"/>
      <c r="F1281" s="483"/>
      <c r="G1281" s="484"/>
      <c r="H1281" s="45"/>
      <c r="I1281" s="46"/>
      <c r="J1281" s="46"/>
      <c r="K1281" s="46"/>
      <c r="L1281" s="47"/>
      <c r="M1281" s="101"/>
      <c r="N1281" s="25"/>
      <c r="O1281" s="197">
        <f t="shared" si="110"/>
        <v>-18057127.232876711</v>
      </c>
      <c r="P1281" s="197" t="e">
        <f>+(M1392/(1+#REF!)^((H1392-$H$1390)/365))/$P$1279</f>
        <v>#REF!</v>
      </c>
      <c r="Q1281" s="197" t="e">
        <f t="shared" si="111"/>
        <v>#REF!</v>
      </c>
    </row>
    <row r="1282" spans="1:17" ht="15.95" customHeight="1" x14ac:dyDescent="0.25">
      <c r="A1282" s="121"/>
      <c r="B1282" s="23"/>
      <c r="C1282" s="79" t="s">
        <v>38</v>
      </c>
      <c r="D1282" s="75"/>
      <c r="E1282" s="76"/>
      <c r="F1282" s="483"/>
      <c r="G1282" s="484"/>
      <c r="H1282" s="48">
        <f>+D1291</f>
        <v>44648</v>
      </c>
      <c r="I1282" s="70"/>
      <c r="J1282" s="49"/>
      <c r="K1282" s="49"/>
      <c r="L1282" s="50">
        <f>+D1293</f>
        <v>50000000</v>
      </c>
      <c r="M1282" s="102">
        <f>-L1282</f>
        <v>-50000000</v>
      </c>
      <c r="N1282" s="25"/>
      <c r="O1282" s="197">
        <f t="shared" si="110"/>
        <v>-9667969.5342465732</v>
      </c>
      <c r="P1282" s="197" t="e">
        <f>+(M1393/(1+#REF!)^((H1393-$H$1390)/365))/$P$1279</f>
        <v>#REF!</v>
      </c>
      <c r="Q1282" s="197" t="e">
        <f t="shared" si="111"/>
        <v>#REF!</v>
      </c>
    </row>
    <row r="1283" spans="1:17" ht="15.95" customHeight="1" x14ac:dyDescent="0.25">
      <c r="A1283" s="121"/>
      <c r="B1283" s="23"/>
      <c r="C1283" s="59"/>
      <c r="D1283" s="73"/>
      <c r="E1283" s="74"/>
      <c r="F1283" s="483"/>
      <c r="G1283" s="484"/>
      <c r="H1283" s="51">
        <v>44832</v>
      </c>
      <c r="I1283" s="71" t="s">
        <v>13</v>
      </c>
      <c r="J1283" s="52">
        <f>+L1282*('Tasas-TC'!$B$1148+ARS!$D$1296)*(ARS!$H1283-ARS!$H1282)/365</f>
        <v>9483561.6438356172</v>
      </c>
      <c r="K1283" s="52">
        <f>+IF(OR(I1283="A + C",I1283="A"),$D$1293*$D$1299,0)</f>
        <v>12500000</v>
      </c>
      <c r="L1283" s="53">
        <f t="shared" ref="L1283:L1286" si="112">+L1282-K1283</f>
        <v>37500000</v>
      </c>
      <c r="M1283" s="103">
        <f t="shared" ref="M1283:M1286" si="113">+J1283+K1283</f>
        <v>21983561.643835619</v>
      </c>
      <c r="N1283" s="25"/>
      <c r="O1283" s="197">
        <f t="shared" si="110"/>
        <v>-1892855.1232876685</v>
      </c>
      <c r="P1283" s="197" t="e">
        <f>+(M1394/(1+#REF!)^((H1394-$H$1390)/365))/$P$1279</f>
        <v>#REF!</v>
      </c>
      <c r="Q1283" s="197" t="e">
        <f t="shared" si="111"/>
        <v>#REF!</v>
      </c>
    </row>
    <row r="1284" spans="1:17" ht="15.95" customHeight="1" x14ac:dyDescent="0.25">
      <c r="A1284" s="121"/>
      <c r="B1284" s="23"/>
      <c r="C1284" s="60"/>
      <c r="D1284" s="77"/>
      <c r="E1284" s="78"/>
      <c r="F1284" s="483"/>
      <c r="G1284" s="484"/>
      <c r="H1284" s="51">
        <v>45013</v>
      </c>
      <c r="I1284" s="71" t="s">
        <v>13</v>
      </c>
      <c r="J1284" s="52">
        <f>+L1283*('Tasas-TC'!$B$1148+ARS!$D$1296)*(ARS!$H1284-ARS!$H1283)/365</f>
        <v>6996703.7671232866</v>
      </c>
      <c r="K1284" s="52">
        <f>+IF(OR(I1284="A + C",I1284="A"),$D$1293*$D$1299,0)</f>
        <v>12500000</v>
      </c>
      <c r="L1284" s="53">
        <f t="shared" si="112"/>
        <v>25000000</v>
      </c>
      <c r="M1284" s="103">
        <f t="shared" si="113"/>
        <v>19496703.767123286</v>
      </c>
      <c r="N1284" s="25"/>
      <c r="O1284" s="197">
        <f t="shared" si="110"/>
        <v>5357231.6712328801</v>
      </c>
      <c r="P1284" s="197" t="e">
        <f>+(M1395/(1+#REF!)^((H1395-$H$1390)/365))/$P$1279</f>
        <v>#REF!</v>
      </c>
      <c r="Q1284" s="197" t="e">
        <f t="shared" si="111"/>
        <v>#REF!</v>
      </c>
    </row>
    <row r="1285" spans="1:17" ht="15.95" customHeight="1" x14ac:dyDescent="0.25">
      <c r="A1285" s="121"/>
      <c r="B1285" s="23"/>
      <c r="C1285" s="60"/>
      <c r="D1285" s="55" t="str">
        <f>+B1273</f>
        <v>Grupo Alimenticio I</v>
      </c>
      <c r="E1285" s="64"/>
      <c r="F1285" s="483"/>
      <c r="G1285" s="484">
        <f>+J1275</f>
        <v>0</v>
      </c>
      <c r="H1285" s="51">
        <v>45197</v>
      </c>
      <c r="I1285" s="71" t="s">
        <v>13</v>
      </c>
      <c r="J1285" s="52">
        <f>+L1284*('Tasas-TC'!$B$1148+ARS!$D$1296)*(ARS!$H1285-ARS!$H1284)/365</f>
        <v>4741780.8219178086</v>
      </c>
      <c r="K1285" s="52">
        <f>+IF(OR(I1285="A + C",I1285="A"),$D$1293*$D$1299,0)</f>
        <v>12500000</v>
      </c>
      <c r="L1285" s="53">
        <f t="shared" si="112"/>
        <v>12500000</v>
      </c>
      <c r="M1285" s="103">
        <f t="shared" si="113"/>
        <v>17241780.82191781</v>
      </c>
      <c r="N1285" s="25"/>
      <c r="O1285" s="197">
        <f t="shared" si="110"/>
        <v>12082290.849315073</v>
      </c>
      <c r="P1285" s="197" t="e">
        <f>+(M1396/(1+#REF!)^((H1396-$H$1390)/365))/$P$1279</f>
        <v>#REF!</v>
      </c>
      <c r="Q1285" s="197" t="e">
        <f t="shared" si="111"/>
        <v>#REF!</v>
      </c>
    </row>
    <row r="1286" spans="1:17" ht="15.95" customHeight="1" x14ac:dyDescent="0.25">
      <c r="A1286" s="121"/>
      <c r="B1286" s="32"/>
      <c r="D1286" s="644"/>
      <c r="E1286" s="660"/>
      <c r="F1286" s="483"/>
      <c r="G1286" s="484"/>
      <c r="H1286" s="54">
        <v>45379</v>
      </c>
      <c r="I1286" s="104" t="s">
        <v>13</v>
      </c>
      <c r="J1286" s="52">
        <f>+L1285*('Tasas-TC'!$B$1148+ARS!$D$1296)*(ARS!$H1286-ARS!$H1285)/365</f>
        <v>2345119.8630136987</v>
      </c>
      <c r="K1286" s="52">
        <f>+IF(OR(I1286="A + C",I1286="A"),$D$1293*$D$1299,0)</f>
        <v>12500000</v>
      </c>
      <c r="L1286" s="106">
        <f t="shared" si="112"/>
        <v>0</v>
      </c>
      <c r="M1286" s="107">
        <f t="shared" si="113"/>
        <v>14845119.8630137</v>
      </c>
      <c r="N1286" s="25"/>
      <c r="O1286" s="197">
        <f t="shared" si="110"/>
        <v>19082322.410958908</v>
      </c>
      <c r="P1286" s="197">
        <f>+(M1397/(1+$J$2505)^((H1397-$H$2489)/365))/$P$2345</f>
        <v>0.87500394520547942</v>
      </c>
      <c r="Q1286" s="197">
        <f t="shared" si="111"/>
        <v>1.7524051614937137</v>
      </c>
    </row>
    <row r="1287" spans="1:17" ht="15.95" customHeight="1" x14ac:dyDescent="0.25">
      <c r="A1287" s="121"/>
      <c r="B1287" s="23"/>
      <c r="C1287" s="638" t="s">
        <v>36</v>
      </c>
      <c r="D1287" s="640"/>
      <c r="E1287" s="36"/>
      <c r="F1287" s="483"/>
      <c r="G1287" s="484"/>
      <c r="H1287" s="404"/>
      <c r="I1287" s="277"/>
      <c r="J1287" s="405"/>
      <c r="K1287" s="405"/>
      <c r="L1287" s="109"/>
      <c r="M1287" s="405"/>
      <c r="N1287" s="25"/>
      <c r="O1287" s="197"/>
      <c r="P1287" s="197"/>
      <c r="Q1287" s="197"/>
    </row>
    <row r="1288" spans="1:17" ht="15.95" customHeight="1" x14ac:dyDescent="0.25">
      <c r="A1288" s="121"/>
      <c r="B1288" s="23"/>
      <c r="C1288" s="59"/>
      <c r="D1288" s="62"/>
      <c r="E1288" s="36"/>
      <c r="F1288" s="483"/>
      <c r="G1288" s="484"/>
      <c r="H1288" s="656" t="s">
        <v>43</v>
      </c>
      <c r="I1288" s="656"/>
      <c r="J1288" s="92">
        <f>+J1275+(L1286*(P231+D1296)*($M$4-H1286)/365)</f>
        <v>0</v>
      </c>
      <c r="K1288" s="109"/>
      <c r="L1288" s="109"/>
      <c r="M1288" s="109"/>
      <c r="N1288" s="25"/>
      <c r="O1288" s="197"/>
      <c r="P1288" s="197"/>
      <c r="Q1288" s="197"/>
    </row>
    <row r="1289" spans="1:17" ht="15.95" customHeight="1" x14ac:dyDescent="0.25">
      <c r="A1289" s="121"/>
      <c r="B1289" s="23"/>
      <c r="C1289" s="59" t="s">
        <v>9</v>
      </c>
      <c r="D1289" s="98" t="s">
        <v>18</v>
      </c>
      <c r="E1289" s="36"/>
      <c r="F1289" s="483"/>
      <c r="G1289" s="484"/>
      <c r="H1289" s="35"/>
      <c r="I1289" s="272"/>
      <c r="J1289" s="109"/>
      <c r="K1289" s="109"/>
      <c r="L1289" s="109"/>
      <c r="M1289" s="109"/>
      <c r="N1289" s="25"/>
      <c r="O1289" s="197"/>
      <c r="P1289" s="197"/>
      <c r="Q1289" s="197"/>
    </row>
    <row r="1290" spans="1:17" ht="15.95" customHeight="1" x14ac:dyDescent="0.25">
      <c r="A1290" s="121"/>
      <c r="B1290" s="23"/>
      <c r="C1290" s="59" t="s">
        <v>10</v>
      </c>
      <c r="D1290" s="65">
        <v>44643</v>
      </c>
      <c r="E1290" s="36"/>
      <c r="F1290" s="483"/>
      <c r="G1290" s="484"/>
      <c r="H1290" s="638" t="s">
        <v>44</v>
      </c>
      <c r="I1290" s="639"/>
      <c r="J1290" s="639"/>
      <c r="K1290" s="639"/>
      <c r="L1290" s="639"/>
      <c r="M1290" s="640"/>
      <c r="N1290" s="25"/>
      <c r="O1290" s="197"/>
      <c r="P1290" s="197"/>
      <c r="Q1290" s="197"/>
    </row>
    <row r="1291" spans="1:17" ht="15.95" customHeight="1" x14ac:dyDescent="0.25">
      <c r="A1291" s="121"/>
      <c r="B1291" s="23"/>
      <c r="C1291" s="59" t="s">
        <v>11</v>
      </c>
      <c r="D1291" s="65">
        <v>44648</v>
      </c>
      <c r="E1291" s="36"/>
      <c r="F1291" s="483"/>
      <c r="G1291" s="484"/>
      <c r="H1291" s="23"/>
      <c r="I1291" s="24"/>
      <c r="J1291" s="24"/>
      <c r="K1291" s="24"/>
      <c r="L1291" s="24"/>
      <c r="M1291" s="25"/>
      <c r="N1291" s="25"/>
      <c r="O1291" s="197"/>
      <c r="P1291" s="197"/>
      <c r="Q1291" s="197"/>
    </row>
    <row r="1292" spans="1:17" ht="15.95" customHeight="1" x14ac:dyDescent="0.25">
      <c r="A1292" s="121"/>
      <c r="B1292" s="23"/>
      <c r="C1292" s="59" t="s">
        <v>12</v>
      </c>
      <c r="D1292" s="65">
        <v>45379</v>
      </c>
      <c r="E1292" s="36"/>
      <c r="F1292" s="483"/>
      <c r="G1292" s="484"/>
      <c r="H1292" s="23"/>
      <c r="I1292" s="24"/>
      <c r="J1292" s="24"/>
      <c r="K1292" s="24"/>
      <c r="L1292" s="24"/>
      <c r="M1292" s="25"/>
      <c r="N1292" s="25"/>
    </row>
    <row r="1293" spans="1:17" ht="15.95" customHeight="1" x14ac:dyDescent="0.25">
      <c r="A1293" s="121"/>
      <c r="B1293" s="23"/>
      <c r="C1293" s="59" t="s">
        <v>27</v>
      </c>
      <c r="D1293" s="66">
        <v>50000000</v>
      </c>
      <c r="E1293" s="41"/>
      <c r="F1293" s="480"/>
      <c r="G1293" s="484"/>
      <c r="H1293" s="96"/>
      <c r="I1293" s="35"/>
      <c r="J1293" s="24"/>
      <c r="K1293" s="24"/>
      <c r="L1293" s="24"/>
      <c r="M1293" s="25"/>
      <c r="N1293" s="25"/>
    </row>
    <row r="1294" spans="1:17" ht="15.95" customHeight="1" x14ac:dyDescent="0.25">
      <c r="A1294" s="121"/>
      <c r="B1294" s="23"/>
      <c r="C1294" s="59" t="s">
        <v>26</v>
      </c>
      <c r="D1294" s="66">
        <v>6</v>
      </c>
      <c r="E1294" s="36"/>
      <c r="F1294" s="480"/>
      <c r="G1294" s="484"/>
      <c r="H1294" s="23"/>
      <c r="I1294" s="24"/>
      <c r="J1294" s="24"/>
      <c r="K1294" s="24"/>
      <c r="L1294" s="24"/>
      <c r="M1294" s="25"/>
      <c r="N1294" s="25"/>
    </row>
    <row r="1295" spans="1:17" ht="15.95" customHeight="1" x14ac:dyDescent="0.25">
      <c r="A1295" s="121"/>
      <c r="B1295" s="23"/>
      <c r="C1295" s="59" t="s">
        <v>19</v>
      </c>
      <c r="D1295" s="67" t="s">
        <v>20</v>
      </c>
      <c r="E1295" s="43"/>
      <c r="F1295" s="480"/>
      <c r="G1295" s="484"/>
      <c r="H1295" s="23"/>
      <c r="I1295" s="24"/>
      <c r="J1295" s="24"/>
      <c r="K1295" s="24"/>
      <c r="L1295" s="24"/>
      <c r="M1295" s="25"/>
      <c r="N1295" s="25"/>
    </row>
    <row r="1296" spans="1:17" ht="15.95" customHeight="1" x14ac:dyDescent="0.25">
      <c r="A1296" s="121"/>
      <c r="B1296" s="23"/>
      <c r="C1296" s="59" t="s">
        <v>14</v>
      </c>
      <c r="D1296" s="68">
        <v>3.5000000000000003E-2</v>
      </c>
      <c r="E1296" s="43"/>
      <c r="F1296" s="480"/>
      <c r="G1296" s="484"/>
      <c r="H1296" s="23"/>
      <c r="I1296" s="24"/>
      <c r="J1296" s="24"/>
      <c r="K1296" s="24"/>
      <c r="L1296" s="24"/>
      <c r="M1296" s="25"/>
      <c r="N1296" s="25"/>
    </row>
    <row r="1297" spans="1:15" ht="15.95" customHeight="1" x14ac:dyDescent="0.25">
      <c r="A1297" s="121"/>
      <c r="B1297" s="23"/>
      <c r="C1297" s="59" t="s">
        <v>31</v>
      </c>
      <c r="D1297" s="68"/>
      <c r="E1297" s="43"/>
      <c r="F1297" s="480"/>
      <c r="G1297" s="484"/>
      <c r="H1297" s="23"/>
      <c r="I1297" s="24"/>
      <c r="J1297" s="24"/>
      <c r="K1297" s="24"/>
      <c r="L1297" s="24"/>
      <c r="M1297" s="25"/>
      <c r="N1297" s="25"/>
    </row>
    <row r="1298" spans="1:15" ht="15.95" customHeight="1" x14ac:dyDescent="0.25">
      <c r="A1298" s="121"/>
      <c r="B1298" s="23"/>
      <c r="C1298" s="59" t="s">
        <v>32</v>
      </c>
      <c r="D1298" s="68"/>
      <c r="E1298" s="44"/>
      <c r="F1298" s="480"/>
      <c r="G1298" s="485"/>
      <c r="H1298" s="23"/>
      <c r="I1298" s="24"/>
      <c r="J1298" s="24"/>
      <c r="K1298" s="24"/>
      <c r="L1298" s="24"/>
      <c r="M1298" s="25"/>
      <c r="N1298" s="25"/>
    </row>
    <row r="1299" spans="1:15" ht="15.95" customHeight="1" x14ac:dyDescent="0.25">
      <c r="A1299" s="121"/>
      <c r="B1299" s="23"/>
      <c r="C1299" s="59" t="s">
        <v>64</v>
      </c>
      <c r="D1299" s="68">
        <v>0.25</v>
      </c>
      <c r="E1299" s="24"/>
      <c r="F1299" s="480"/>
      <c r="G1299" s="485"/>
      <c r="H1299" s="23"/>
      <c r="I1299" s="24"/>
      <c r="J1299" s="24"/>
      <c r="K1299" s="24"/>
      <c r="L1299" s="24"/>
      <c r="M1299" s="25"/>
      <c r="N1299" s="25"/>
    </row>
    <row r="1300" spans="1:15" ht="15.95" customHeight="1" x14ac:dyDescent="0.25">
      <c r="A1300" s="121"/>
      <c r="B1300" s="23"/>
      <c r="C1300" s="59"/>
      <c r="D1300" s="68"/>
      <c r="E1300" s="24"/>
      <c r="F1300" s="480"/>
      <c r="G1300" s="485"/>
      <c r="H1300" s="23"/>
      <c r="I1300" s="24"/>
      <c r="J1300" s="24"/>
      <c r="K1300" s="24"/>
      <c r="L1300" s="24"/>
      <c r="M1300" s="25"/>
      <c r="N1300" s="25"/>
    </row>
    <row r="1301" spans="1:15" ht="15.95" customHeight="1" x14ac:dyDescent="0.25">
      <c r="A1301" s="121"/>
      <c r="B1301" s="23"/>
      <c r="C1301" s="60"/>
      <c r="D1301" s="110"/>
      <c r="E1301" s="24"/>
      <c r="F1301" s="480"/>
      <c r="G1301" s="485"/>
      <c r="H1301" s="23"/>
      <c r="I1301" s="24"/>
      <c r="J1301" s="24"/>
      <c r="K1301" s="24"/>
      <c r="L1301" s="24"/>
      <c r="M1301" s="25"/>
      <c r="N1301" s="25"/>
    </row>
    <row r="1302" spans="1:15" ht="15.95" customHeight="1" x14ac:dyDescent="0.25">
      <c r="A1302" s="121"/>
      <c r="B1302" s="23"/>
      <c r="C1302" s="24"/>
      <c r="D1302" s="24"/>
      <c r="E1302" s="24"/>
      <c r="F1302" s="480"/>
      <c r="G1302" s="485"/>
      <c r="H1302" s="23"/>
      <c r="I1302" s="24"/>
      <c r="J1302" s="24"/>
      <c r="K1302" s="24"/>
      <c r="L1302" s="24"/>
      <c r="M1302" s="25"/>
      <c r="N1302" s="25"/>
    </row>
    <row r="1303" spans="1:15" ht="15.95" customHeight="1" x14ac:dyDescent="0.25">
      <c r="A1303" s="121"/>
      <c r="B1303" s="23"/>
      <c r="C1303" s="24"/>
      <c r="D1303" s="24"/>
      <c r="E1303" s="24"/>
      <c r="F1303" s="480"/>
      <c r="G1303" s="485"/>
      <c r="H1303" s="26"/>
      <c r="I1303" s="27"/>
      <c r="J1303" s="27"/>
      <c r="K1303" s="27"/>
      <c r="L1303" s="27"/>
      <c r="M1303" s="28"/>
      <c r="N1303" s="25"/>
    </row>
    <row r="1304" spans="1:15" ht="20.100000000000001" customHeight="1" x14ac:dyDescent="0.25">
      <c r="A1304" s="121"/>
      <c r="B1304" s="26"/>
      <c r="C1304" s="27"/>
      <c r="D1304" s="27"/>
      <c r="E1304" s="27"/>
      <c r="F1304" s="481"/>
      <c r="G1304" s="486"/>
      <c r="H1304" s="27"/>
      <c r="I1304" s="27"/>
      <c r="J1304" s="27"/>
      <c r="K1304" s="27"/>
      <c r="L1304" s="27"/>
      <c r="M1304" s="27"/>
      <c r="N1304" s="28"/>
      <c r="O1304" s="195"/>
    </row>
    <row r="1305" spans="1:15" ht="15.95" customHeight="1" x14ac:dyDescent="0.25">
      <c r="A1305" s="121"/>
      <c r="B1305" s="635" t="s">
        <v>159</v>
      </c>
      <c r="C1305" s="636"/>
      <c r="D1305" s="636"/>
      <c r="E1305" s="636"/>
      <c r="F1305" s="636"/>
      <c r="G1305" s="636"/>
      <c r="H1305" s="636"/>
      <c r="I1305" s="636"/>
      <c r="J1305" s="636"/>
      <c r="K1305" s="636"/>
      <c r="L1305" s="636"/>
      <c r="M1305" s="636"/>
      <c r="N1305" s="637"/>
      <c r="O1305" s="195"/>
    </row>
    <row r="1306" spans="1:15" ht="15.95" customHeight="1" x14ac:dyDescent="0.25">
      <c r="A1306" s="121"/>
      <c r="B1306" s="23"/>
      <c r="C1306" s="24"/>
      <c r="D1306" s="24"/>
      <c r="E1306" s="24"/>
      <c r="F1306" s="483"/>
      <c r="G1306" s="484"/>
      <c r="H1306" s="31"/>
      <c r="I1306" s="31"/>
      <c r="J1306" s="24"/>
      <c r="K1306" s="24"/>
      <c r="L1306" s="24"/>
      <c r="M1306" s="24"/>
      <c r="N1306" s="25"/>
      <c r="O1306" s="194" t="str">
        <f>+D1422</f>
        <v>ON Pyme CNV Garantizada</v>
      </c>
    </row>
    <row r="1307" spans="1:15" ht="15.95" customHeight="1" x14ac:dyDescent="0.25">
      <c r="A1307" s="121"/>
      <c r="B1307" s="23"/>
      <c r="C1307" s="638" t="s">
        <v>37</v>
      </c>
      <c r="D1307" s="639"/>
      <c r="E1307" s="640"/>
      <c r="F1307" s="483"/>
      <c r="G1307" s="484"/>
      <c r="H1307" s="641" t="s">
        <v>28</v>
      </c>
      <c r="I1307" s="642"/>
      <c r="J1307" s="39">
        <f>+$D$1325-SUMIF($H$1313:$H$1327,"&lt;"&amp;$M$4,$K$1313:$K$1327)</f>
        <v>0</v>
      </c>
      <c r="K1307" s="24"/>
      <c r="L1307" s="24"/>
      <c r="M1307" s="24"/>
      <c r="N1307" s="25"/>
      <c r="O1307" s="195"/>
    </row>
    <row r="1308" spans="1:15" ht="15.95" customHeight="1" x14ac:dyDescent="0.25">
      <c r="A1308" s="121"/>
      <c r="B1308" s="23"/>
      <c r="C1308" s="58"/>
      <c r="D1308" s="664"/>
      <c r="E1308" s="665"/>
      <c r="F1308" s="483"/>
      <c r="G1308" s="484"/>
      <c r="H1308" s="645" t="s">
        <v>29</v>
      </c>
      <c r="I1308" s="646"/>
      <c r="J1308" s="40">
        <f>+$D$1324</f>
        <v>44406</v>
      </c>
      <c r="K1308" s="24"/>
      <c r="L1308" s="24"/>
      <c r="M1308" s="24"/>
      <c r="N1308" s="25"/>
      <c r="O1308" s="194" t="str">
        <f>+IF(J1420="vencida",IF(D1422='Reporte - Oscuro'!$C$40,'Reporte - Oscuro'!$C$40&amp;" vencida",IF(D1422='Reporte - Oscuro'!$C$41,'Reporte - Oscuro'!$C$41&amp;" vencida",IF(D1422='Reporte - Oscuro'!$C$42,'Reporte - Oscuro'!$C$42&amp;" vencida",'Reporte - Oscuro'!$C$43&amp;" vencida"))),D1422&amp;" vigente")</f>
        <v>ON Pyme CNV Garantizada vencida</v>
      </c>
    </row>
    <row r="1309" spans="1:15" ht="15.95" customHeight="1" x14ac:dyDescent="0.25">
      <c r="A1309" s="121"/>
      <c r="B1309" s="23"/>
      <c r="C1309" s="59" t="s">
        <v>25</v>
      </c>
      <c r="D1309" s="658"/>
      <c r="E1309" s="659"/>
      <c r="F1309" s="483"/>
      <c r="G1309" s="484"/>
      <c r="H1309" s="649" t="s">
        <v>30</v>
      </c>
      <c r="I1309" s="650"/>
      <c r="J1309" s="42" t="str">
        <f t="array" ref="J1309">+IF(H1326&gt;=M4,MIN(IF(H1313:H1327&gt;=$M$4,H1313:H1327,"")),"vencida")</f>
        <v>vencida</v>
      </c>
      <c r="K1309" s="24"/>
      <c r="L1309" s="24"/>
      <c r="M1309" s="24"/>
      <c r="N1309" s="25"/>
    </row>
    <row r="1310" spans="1:15" ht="15.95" customHeight="1" x14ac:dyDescent="0.25">
      <c r="A1310" s="121"/>
      <c r="B1310" s="23"/>
      <c r="C1310" s="59" t="s">
        <v>6</v>
      </c>
      <c r="D1310" s="658" t="s">
        <v>158</v>
      </c>
      <c r="E1310" s="659"/>
      <c r="F1310" s="483"/>
      <c r="G1310" s="484"/>
      <c r="H1310" s="24"/>
      <c r="I1310" s="24"/>
      <c r="J1310" s="24"/>
      <c r="K1310" s="24"/>
      <c r="L1310" s="24"/>
      <c r="M1310" s="24"/>
      <c r="N1310" s="25"/>
      <c r="O1310" s="195"/>
    </row>
    <row r="1311" spans="1:15" ht="15.95" customHeight="1" x14ac:dyDescent="0.25">
      <c r="A1311" s="121"/>
      <c r="B1311" s="23"/>
      <c r="C1311" s="59" t="s">
        <v>8</v>
      </c>
      <c r="D1311" s="658" t="s">
        <v>17</v>
      </c>
      <c r="E1311" s="659"/>
      <c r="F1311" s="483"/>
      <c r="G1311" s="484"/>
      <c r="H1311" s="651" t="s">
        <v>41</v>
      </c>
      <c r="I1311" s="652"/>
      <c r="J1311" s="652"/>
      <c r="K1311" s="652"/>
      <c r="L1311" s="653"/>
      <c r="M1311" s="24"/>
      <c r="N1311" s="25"/>
      <c r="O1311" s="195"/>
    </row>
    <row r="1312" spans="1:15" ht="15.95" customHeight="1" x14ac:dyDescent="0.25">
      <c r="A1312" s="121"/>
      <c r="B1312" s="23"/>
      <c r="C1312" s="59" t="s">
        <v>33</v>
      </c>
      <c r="D1312" s="73" t="s">
        <v>309</v>
      </c>
      <c r="E1312" s="273">
        <v>1</v>
      </c>
      <c r="F1312" s="483">
        <f>+E1312*J1307</f>
        <v>0</v>
      </c>
      <c r="G1312" s="484"/>
      <c r="H1312" s="81" t="s">
        <v>0</v>
      </c>
      <c r="I1312" s="82" t="s">
        <v>2</v>
      </c>
      <c r="J1312" s="82" t="s">
        <v>3</v>
      </c>
      <c r="K1312" s="82" t="s">
        <v>4</v>
      </c>
      <c r="L1312" s="83" t="s">
        <v>5</v>
      </c>
      <c r="M1312" s="82" t="s">
        <v>44</v>
      </c>
      <c r="N1312" s="25"/>
      <c r="O1312" s="195"/>
    </row>
    <row r="1313" spans="1:17" ht="15.95" customHeight="1" x14ac:dyDescent="0.25">
      <c r="A1313" s="121"/>
      <c r="B1313" s="23"/>
      <c r="C1313" s="59" t="s">
        <v>34</v>
      </c>
      <c r="D1313" s="658" t="s">
        <v>48</v>
      </c>
      <c r="E1313" s="659"/>
      <c r="F1313" s="483"/>
      <c r="G1313" s="484"/>
      <c r="H1313" s="45"/>
      <c r="I1313" s="46"/>
      <c r="J1313" s="46"/>
      <c r="K1313" s="46"/>
      <c r="L1313" s="47"/>
      <c r="M1313" s="23"/>
      <c r="N1313" s="25"/>
      <c r="O1313" s="197">
        <f>+M1425</f>
        <v>-1000000</v>
      </c>
      <c r="P1313" s="197">
        <f>-M1425</f>
        <v>1000000</v>
      </c>
      <c r="Q1313" s="197"/>
    </row>
    <row r="1314" spans="1:17" ht="15.95" customHeight="1" x14ac:dyDescent="0.25">
      <c r="A1314" s="121"/>
      <c r="B1314" s="23"/>
      <c r="C1314" s="79" t="s">
        <v>38</v>
      </c>
      <c r="D1314" s="75"/>
      <c r="E1314" s="76"/>
      <c r="F1314" s="483"/>
      <c r="G1314" s="484"/>
      <c r="H1314" s="48">
        <f>+$D$1323</f>
        <v>43280</v>
      </c>
      <c r="I1314" s="70"/>
      <c r="J1314" s="49"/>
      <c r="K1314" s="49"/>
      <c r="L1314" s="50">
        <f>+D1325</f>
        <v>2000000</v>
      </c>
      <c r="M1314" s="93">
        <f>-L1314</f>
        <v>-2000000</v>
      </c>
      <c r="N1314" s="25"/>
      <c r="O1314" s="197">
        <f>+M1426+O1313</f>
        <v>-534752.60416666674</v>
      </c>
      <c r="P1314" s="197">
        <f>+(M1426/(1+$J$1433)^((H1426-$H$1425)/365))/$P$1313</f>
        <v>0.4652473958333333</v>
      </c>
      <c r="Q1314" s="197">
        <f>+P1314*((H1426-$H$1425)/365)</f>
        <v>0.23326102311643837</v>
      </c>
    </row>
    <row r="1315" spans="1:17" ht="15.95" customHeight="1" x14ac:dyDescent="0.25">
      <c r="A1315" s="121"/>
      <c r="B1315" s="23"/>
      <c r="C1315" s="59"/>
      <c r="D1315" s="73"/>
      <c r="E1315" s="74"/>
      <c r="F1315" s="483"/>
      <c r="G1315" s="484"/>
      <c r="H1315" s="51">
        <f>IF(DAY(H1314)=DAY($H$1314),IF(WEEKDAY(EDATE(H1314,$D$1326),3)&lt;5,EDATE(H1314,$D$1326),WORKDAY(EDATE(H1314,$D$1326),1)),IF(WEEKDAY(EDATE($H$1314,$D$1326*COUNT($H$1314:H1314)),3)&lt;5,EDATE($H$1314,$D$1326*COUNT($H$1314:H1314)),WORKDAY(EDATE($H$1314,$D$1326*COUNT($H$1314:H1314)),1)))</f>
        <v>43374</v>
      </c>
      <c r="I1315" s="71" t="s">
        <v>7</v>
      </c>
      <c r="J1315" s="52">
        <v>223739.58333333331</v>
      </c>
      <c r="K1315" s="52">
        <f t="shared" ref="K1315:K1325" si="114">+IF(OR(I1315="A + C",I1315="A"),$D$1325*$D$1331,0)</f>
        <v>0</v>
      </c>
      <c r="L1315" s="53">
        <f t="shared" ref="L1315:L1326" si="115">+L1314-K1315</f>
        <v>2000000</v>
      </c>
      <c r="M1315" s="94">
        <f t="shared" ref="M1315:M1326" si="116">+J1315+K1315</f>
        <v>223739.58333333331</v>
      </c>
      <c r="N1315" s="25"/>
      <c r="O1315" s="197">
        <f>+M1427+O1314</f>
        <v>-76921.875000000058</v>
      </c>
      <c r="P1315" s="197">
        <f>+(M1427/(1+$J$1433)^((H1427-$H$1425)/365))/$P$1313</f>
        <v>0.45783072916666667</v>
      </c>
      <c r="Q1315" s="197">
        <f>+P1315*((H1427-$H$1425)/365)</f>
        <v>0.45783072916666667</v>
      </c>
    </row>
    <row r="1316" spans="1:17" ht="15.95" customHeight="1" x14ac:dyDescent="0.25">
      <c r="A1316" s="121"/>
      <c r="B1316" s="23"/>
      <c r="C1316" s="60"/>
      <c r="D1316" s="77"/>
      <c r="E1316" s="78"/>
      <c r="F1316" s="483"/>
      <c r="G1316" s="484"/>
      <c r="H1316" s="51">
        <f>IF(DAY(H1315)=DAY($H$1314),IF(WEEKDAY(EDATE(H1315,$D$1326),3)&lt;5,EDATE(H1315,$D$1326),WORKDAY(EDATE(H1315,$D$1326),1)),IF(WEEKDAY(EDATE($H$1314,$D$1326*COUNT($H$1314:H1315)),3)&lt;5,EDATE($H$1314,$D$1326*COUNT($H$1314:H1315)),WORKDAY(EDATE($H$1314,$D$1326*COUNT($H$1314:H1315)),1)))</f>
        <v>43465</v>
      </c>
      <c r="I1316" s="71" t="s">
        <v>7</v>
      </c>
      <c r="J1316" s="52">
        <v>259097.22222222225</v>
      </c>
      <c r="K1316" s="52">
        <f t="shared" si="114"/>
        <v>0</v>
      </c>
      <c r="L1316" s="53">
        <f t="shared" si="115"/>
        <v>2000000</v>
      </c>
      <c r="M1316" s="94">
        <f t="shared" si="116"/>
        <v>259097.22222222225</v>
      </c>
      <c r="N1316" s="25"/>
      <c r="O1316" s="197">
        <f>+M1428+O1315</f>
        <v>324675.34722222219</v>
      </c>
      <c r="P1316" s="197">
        <f>+(M1428/(1+$J$1433)^((H1428-$H$1425)/365))/$P$1313</f>
        <v>0.40159722222222227</v>
      </c>
      <c r="Q1316" s="197">
        <f>+P1316*((H1428-$H$1425)/365)</f>
        <v>0.60514649923896513</v>
      </c>
    </row>
    <row r="1317" spans="1:17" ht="15.95" customHeight="1" x14ac:dyDescent="0.25">
      <c r="A1317" s="121"/>
      <c r="B1317" s="23"/>
      <c r="C1317" s="60"/>
      <c r="D1317" s="55" t="str">
        <f>+B1305</f>
        <v>Grupo Pampatech I</v>
      </c>
      <c r="E1317" s="64"/>
      <c r="F1317" s="483"/>
      <c r="G1317" s="484">
        <f>+J1307</f>
        <v>0</v>
      </c>
      <c r="H1317" s="51">
        <f>IF(DAY(H1316)=DAY($H$1314),IF(WEEKDAY(EDATE(H1316,$D$1326),3)&lt;5,EDATE(H1316,$D$1326),WORKDAY(EDATE(H1316,$D$1326),1)),IF(WEEKDAY(EDATE($H$1314,$D$1326*COUNT($H$1314:H1316)),3)&lt;5,EDATE($H$1314,$D$1326*COUNT($H$1314:H1316)),WORKDAY(EDATE($H$1314,$D$1326*COUNT($H$1314:H1316)),1)))</f>
        <v>43553</v>
      </c>
      <c r="I1317" s="71" t="s">
        <v>7</v>
      </c>
      <c r="J1317" s="52">
        <v>245972.22222222222</v>
      </c>
      <c r="K1317" s="52">
        <f t="shared" si="114"/>
        <v>0</v>
      </c>
      <c r="L1317" s="53">
        <f t="shared" si="115"/>
        <v>2000000</v>
      </c>
      <c r="M1317" s="94">
        <f t="shared" si="116"/>
        <v>245972.22222222222</v>
      </c>
      <c r="N1317" s="25"/>
      <c r="O1317" s="197">
        <f>+M1429+O1316</f>
        <v>632893.22916666663</v>
      </c>
      <c r="P1317" s="197">
        <f>+(M1429/(1+$J$1433)^((H1429-$H$1425)/365))/$P$1313</f>
        <v>0.30821788194444444</v>
      </c>
      <c r="Q1317" s="197">
        <f>+P1317*((H1429-$H$1425)/365)</f>
        <v>0.61812462899543386</v>
      </c>
    </row>
    <row r="1318" spans="1:17" ht="15.95" customHeight="1" x14ac:dyDescent="0.25">
      <c r="A1318" s="121"/>
      <c r="B1318" s="32"/>
      <c r="D1318" s="644"/>
      <c r="E1318" s="660"/>
      <c r="F1318" s="483"/>
      <c r="G1318" s="484"/>
      <c r="H1318" s="51">
        <f>IF(DAY(H1317)=DAY($H$1314),IF(WEEKDAY(EDATE(H1317,$D$1326),3)&lt;5,EDATE(H1317,$D$1326),WORKDAY(EDATE(H1317,$D$1326),1)),IF(WEEKDAY(EDATE($H$1314,$D$1326*COUNT($H$1314:H1317)),3)&lt;5,EDATE($H$1314,$D$1326*COUNT($H$1314:H1317)),WORKDAY(EDATE($H$1314,$D$1326*COUNT($H$1314:H1317)),1)))</f>
        <v>43647</v>
      </c>
      <c r="I1318" s="71" t="s">
        <v>13</v>
      </c>
      <c r="J1318" s="52">
        <v>268454.86111111112</v>
      </c>
      <c r="K1318" s="52">
        <f t="shared" si="114"/>
        <v>666600</v>
      </c>
      <c r="L1318" s="53">
        <f t="shared" si="115"/>
        <v>1333400</v>
      </c>
      <c r="M1318" s="94">
        <f t="shared" si="116"/>
        <v>935054.86111111112</v>
      </c>
      <c r="N1318" s="25"/>
      <c r="O1318" s="195"/>
      <c r="P1318" s="197"/>
      <c r="Q1318" s="197"/>
    </row>
    <row r="1319" spans="1:17" ht="15.95" customHeight="1" x14ac:dyDescent="0.25">
      <c r="A1319" s="121"/>
      <c r="B1319" s="23"/>
      <c r="C1319" s="638" t="s">
        <v>36</v>
      </c>
      <c r="D1319" s="640"/>
      <c r="E1319" s="36"/>
      <c r="F1319" s="483"/>
      <c r="G1319" s="484"/>
      <c r="H1319" s="51">
        <f>IF(DAY(H1318)=DAY($H$1314),IF(WEEKDAY(EDATE(H1318,$D$1326),3)&lt;5,EDATE(H1318,$D$1326),WORKDAY(EDATE(H1318,$D$1326),1)),IF(WEEKDAY(EDATE($H$1314,$D$1326*COUNT($H$1314:H1318)),3)&lt;5,EDATE($H$1314,$D$1326*COUNT($H$1314:H1318)),WORKDAY(EDATE($H$1314,$D$1326*COUNT($H$1314:H1318)),1)))</f>
        <v>43738</v>
      </c>
      <c r="I1319" s="71" t="s">
        <v>7</v>
      </c>
      <c r="J1319" s="52">
        <v>203285.62673611112</v>
      </c>
      <c r="K1319" s="52">
        <f t="shared" si="114"/>
        <v>0</v>
      </c>
      <c r="L1319" s="53">
        <f t="shared" si="115"/>
        <v>1333400</v>
      </c>
      <c r="M1319" s="94">
        <f t="shared" si="116"/>
        <v>203285.62673611112</v>
      </c>
      <c r="N1319" s="25"/>
      <c r="O1319" s="195"/>
      <c r="P1319" s="197"/>
      <c r="Q1319" s="197"/>
    </row>
    <row r="1320" spans="1:17" ht="15.95" customHeight="1" x14ac:dyDescent="0.25">
      <c r="A1320" s="121"/>
      <c r="B1320" s="23"/>
      <c r="C1320" s="59"/>
      <c r="D1320" s="62"/>
      <c r="E1320" s="36"/>
      <c r="F1320" s="483"/>
      <c r="G1320" s="484"/>
      <c r="H1320" s="51">
        <f>IF(DAY(H1319)=DAY($H$1314),IF(WEEKDAY(EDATE(H1319,$D$1326),3)&lt;5,EDATE(H1319,$D$1326),WORKDAY(EDATE(H1319,$D$1326),1)),IF(WEEKDAY(EDATE($H$1314,$D$1326*COUNT($H$1314:H1319)),3)&lt;5,EDATE($H$1314,$D$1326*COUNT($H$1314:H1319)),WORKDAY(EDATE($H$1314,$D$1326*COUNT($H$1314:H1319)),1)))</f>
        <v>43829</v>
      </c>
      <c r="I1320" s="71" t="s">
        <v>7</v>
      </c>
      <c r="J1320" s="52">
        <v>186643.59097222224</v>
      </c>
      <c r="K1320" s="52">
        <f t="shared" si="114"/>
        <v>0</v>
      </c>
      <c r="L1320" s="53">
        <f t="shared" si="115"/>
        <v>1333400</v>
      </c>
      <c r="M1320" s="94">
        <f t="shared" si="116"/>
        <v>186643.59097222224</v>
      </c>
      <c r="N1320" s="25"/>
      <c r="O1320" s="195"/>
      <c r="P1320" s="29"/>
    </row>
    <row r="1321" spans="1:17" ht="15.95" customHeight="1" x14ac:dyDescent="0.25">
      <c r="A1321" s="121"/>
      <c r="B1321" s="23"/>
      <c r="C1321" s="59" t="s">
        <v>9</v>
      </c>
      <c r="D1321" s="98" t="s">
        <v>18</v>
      </c>
      <c r="E1321" s="36"/>
      <c r="F1321" s="483"/>
      <c r="G1321" s="484"/>
      <c r="H1321" s="51">
        <f>IF(DAY(H1320)=DAY($H$1314),IF(WEEKDAY(EDATE(H1320,$D$1326),3)&lt;5,EDATE(H1320,$D$1326),WORKDAY(EDATE(H1320,$D$1326),1)),IF(WEEKDAY(EDATE($H$1314,$D$1326*COUNT($H$1314:H1320)),3)&lt;5,EDATE($H$1314,$D$1326*COUNT($H$1314:H1320)),WORKDAY(EDATE($H$1314,$D$1326*COUNT($H$1314:H1320)),1)))</f>
        <v>43920</v>
      </c>
      <c r="I1321" s="71" t="s">
        <v>7</v>
      </c>
      <c r="J1321" s="52">
        <v>135137.54357638888</v>
      </c>
      <c r="K1321" s="52">
        <f t="shared" si="114"/>
        <v>0</v>
      </c>
      <c r="L1321" s="53">
        <f t="shared" si="115"/>
        <v>1333400</v>
      </c>
      <c r="M1321" s="94">
        <f t="shared" si="116"/>
        <v>135137.54357638888</v>
      </c>
      <c r="N1321" s="25"/>
      <c r="O1321" s="195"/>
      <c r="P1321" s="29"/>
    </row>
    <row r="1322" spans="1:17" ht="15.95" customHeight="1" x14ac:dyDescent="0.25">
      <c r="A1322" s="121"/>
      <c r="B1322" s="23"/>
      <c r="C1322" s="59" t="s">
        <v>10</v>
      </c>
      <c r="D1322" s="65">
        <v>43278</v>
      </c>
      <c r="E1322" s="36"/>
      <c r="F1322" s="483"/>
      <c r="G1322" s="484"/>
      <c r="H1322" s="51">
        <f>IF(DAY(H1321)=DAY($H$1314),IF(WEEKDAY(EDATE(H1321,$D$1326),3)&lt;5,EDATE(H1321,$D$1326),WORKDAY(EDATE(H1321,$D$1326),1)),IF(WEEKDAY(EDATE($H$1314,$D$1326*COUNT($H$1314:H1321)),3)&lt;5,EDATE($H$1314,$D$1326*COUNT($H$1314:H1321)),WORKDAY(EDATE($H$1314,$D$1326*COUNT($H$1314:H1321)),1)))</f>
        <v>44011</v>
      </c>
      <c r="I1322" s="71" t="s">
        <v>13</v>
      </c>
      <c r="J1322" s="52">
        <v>110279.81927083334</v>
      </c>
      <c r="K1322" s="52">
        <f t="shared" si="114"/>
        <v>666600</v>
      </c>
      <c r="L1322" s="53">
        <f t="shared" si="115"/>
        <v>666800</v>
      </c>
      <c r="M1322" s="94">
        <f t="shared" si="116"/>
        <v>776879.8192708334</v>
      </c>
      <c r="N1322" s="25"/>
      <c r="O1322" s="195"/>
      <c r="P1322" s="29"/>
    </row>
    <row r="1323" spans="1:17" ht="15.95" customHeight="1" x14ac:dyDescent="0.25">
      <c r="A1323" s="121"/>
      <c r="B1323" s="23"/>
      <c r="C1323" s="59" t="s">
        <v>11</v>
      </c>
      <c r="D1323" s="65">
        <v>43280</v>
      </c>
      <c r="E1323" s="36"/>
      <c r="F1323" s="483"/>
      <c r="G1323" s="484"/>
      <c r="H1323" s="51">
        <f>IF(DAY(H1322)=DAY($H$1314),IF(WEEKDAY(EDATE(H1322,$D$1326),3)&lt;5,EDATE(H1322,$D$1326),WORKDAY(EDATE(H1322,$D$1326),1)),IF(WEEKDAY(EDATE($H$1314,$D$1326*COUNT($H$1314:H1322)),3)&lt;5,EDATE($H$1314,$D$1326*COUNT($H$1314:H1322)),WORKDAY(EDATE($H$1314,$D$1326*COUNT($H$1314:H1322)),1)))</f>
        <v>44103</v>
      </c>
      <c r="I1323" s="71" t="s">
        <v>7</v>
      </c>
      <c r="J1323" s="52">
        <v>53038.383333333331</v>
      </c>
      <c r="K1323" s="52">
        <f t="shared" si="114"/>
        <v>0</v>
      </c>
      <c r="L1323" s="53">
        <f t="shared" si="115"/>
        <v>666800</v>
      </c>
      <c r="M1323" s="94">
        <f t="shared" si="116"/>
        <v>53038.383333333331</v>
      </c>
      <c r="N1323" s="25"/>
      <c r="O1323" s="195"/>
    </row>
    <row r="1324" spans="1:17" ht="15.95" customHeight="1" x14ac:dyDescent="0.25">
      <c r="A1324" s="121"/>
      <c r="B1324" s="23"/>
      <c r="C1324" s="59" t="s">
        <v>12</v>
      </c>
      <c r="D1324" s="65">
        <v>44406</v>
      </c>
      <c r="E1324" s="36"/>
      <c r="F1324" s="483"/>
      <c r="G1324" s="484"/>
      <c r="H1324" s="51">
        <f>IF(DAY(H1323)=DAY($H$1314),IF(WEEKDAY(EDATE(H1323,$D$1326),3)&lt;5,EDATE(H1323,$D$1326),WORKDAY(EDATE(H1323,$D$1326),1)),IF(WEEKDAY(EDATE($H$1314,$D$1326*COUNT($H$1314:H1323)),3)&lt;5,EDATE($H$1314,$D$1326*COUNT($H$1314:H1323)),WORKDAY(EDATE($H$1314,$D$1326*COUNT($H$1314:H1323)),1)))</f>
        <v>44194</v>
      </c>
      <c r="I1324" s="71" t="s">
        <v>7</v>
      </c>
      <c r="J1324" s="52">
        <v>52461.879166666666</v>
      </c>
      <c r="K1324" s="52">
        <f t="shared" si="114"/>
        <v>0</v>
      </c>
      <c r="L1324" s="53">
        <f t="shared" si="115"/>
        <v>666800</v>
      </c>
      <c r="M1324" s="94">
        <f t="shared" si="116"/>
        <v>52461.879166666666</v>
      </c>
      <c r="N1324" s="25"/>
      <c r="O1324" s="195"/>
      <c r="P1324" s="37"/>
    </row>
    <row r="1325" spans="1:17" ht="15.95" customHeight="1" x14ac:dyDescent="0.25">
      <c r="A1325" s="121"/>
      <c r="B1325" s="23"/>
      <c r="C1325" s="59" t="s">
        <v>27</v>
      </c>
      <c r="D1325" s="66">
        <v>2000000</v>
      </c>
      <c r="E1325" s="41"/>
      <c r="F1325" s="480"/>
      <c r="G1325" s="484"/>
      <c r="H1325" s="51">
        <f>IF(DAY(H1324)=DAY($H$1314),IF(WEEKDAY(EDATE(H1324,$D$1326),3)&lt;5,EDATE(H1324,$D$1326),WORKDAY(EDATE(H1324,$D$1326),1)),IF(WEEKDAY(EDATE($H$1314,$D$1326*COUNT($H$1314:H1324)),3)&lt;5,EDATE($H$1314,$D$1326*COUNT($H$1314:H1324)),WORKDAY(EDATE($H$1314,$D$1326*COUNT($H$1314:H1324)),1)))</f>
        <v>44284</v>
      </c>
      <c r="I1325" s="71" t="s">
        <v>7</v>
      </c>
      <c r="J1325" s="52">
        <v>51885.374999999993</v>
      </c>
      <c r="K1325" s="52">
        <f t="shared" si="114"/>
        <v>0</v>
      </c>
      <c r="L1325" s="53">
        <f t="shared" si="115"/>
        <v>666800</v>
      </c>
      <c r="M1325" s="94">
        <f t="shared" si="116"/>
        <v>51885.374999999993</v>
      </c>
      <c r="N1325" s="25"/>
      <c r="O1325" s="195"/>
    </row>
    <row r="1326" spans="1:17" ht="15.95" customHeight="1" x14ac:dyDescent="0.25">
      <c r="A1326" s="121"/>
      <c r="B1326" s="23"/>
      <c r="C1326" s="59" t="s">
        <v>26</v>
      </c>
      <c r="D1326" s="66">
        <v>3</v>
      </c>
      <c r="E1326" s="36"/>
      <c r="F1326" s="480"/>
      <c r="G1326" s="484"/>
      <c r="H1326" s="51">
        <f>IF(DAY(H1325)=DAY($H$1314),IF(WEEKDAY(EDATE(H1325,$D$1326),3)&lt;5,EDATE(H1325,$D$1326),WORKDAY(EDATE(H1325,$D$1326),1)),IF(WEEKDAY(EDATE($H$1314,$D$1326*COUNT($H$1314:H1325)),3)&lt;5,EDATE($H$1314,$D$1326*COUNT($H$1314:H1325)),WORKDAY(EDATE($H$1314,$D$1326*COUNT($H$1314:H1325)),1)))</f>
        <v>44376</v>
      </c>
      <c r="I1326" s="71" t="s">
        <v>13</v>
      </c>
      <c r="J1326" s="52">
        <v>53038.383333333331</v>
      </c>
      <c r="K1326" s="52">
        <f>+IF(OR(I1326="A + C",I1326="A"),$D$1325*$D$1332,0)</f>
        <v>666800</v>
      </c>
      <c r="L1326" s="53">
        <f t="shared" si="115"/>
        <v>0</v>
      </c>
      <c r="M1326" s="94">
        <f t="shared" si="116"/>
        <v>719838.3833333333</v>
      </c>
      <c r="N1326" s="25"/>
      <c r="O1326" s="195"/>
    </row>
    <row r="1327" spans="1:17" ht="15.95" customHeight="1" x14ac:dyDescent="0.25">
      <c r="A1327" s="121"/>
      <c r="B1327" s="23"/>
      <c r="C1327" s="59" t="s">
        <v>19</v>
      </c>
      <c r="D1327" s="67" t="s">
        <v>20</v>
      </c>
      <c r="E1327" s="43"/>
      <c r="F1327" s="480"/>
      <c r="G1327" s="484"/>
      <c r="H1327" s="54"/>
      <c r="I1327" s="104"/>
      <c r="J1327" s="105"/>
      <c r="K1327" s="105"/>
      <c r="L1327" s="106"/>
      <c r="M1327" s="94"/>
      <c r="N1327" s="25"/>
      <c r="O1327" s="195"/>
    </row>
    <row r="1328" spans="1:17" ht="15.95" customHeight="1" x14ac:dyDescent="0.25">
      <c r="A1328" s="121"/>
      <c r="B1328" s="23"/>
      <c r="C1328" s="59" t="s">
        <v>14</v>
      </c>
      <c r="D1328" s="68">
        <v>0.05</v>
      </c>
      <c r="E1328" s="43"/>
      <c r="F1328" s="480"/>
      <c r="G1328" s="484"/>
      <c r="H1328" s="109"/>
      <c r="I1328" s="109"/>
      <c r="J1328" s="109"/>
      <c r="K1328" s="109"/>
      <c r="L1328" s="109"/>
      <c r="M1328" s="109"/>
      <c r="N1328" s="25"/>
      <c r="O1328" s="195"/>
    </row>
    <row r="1329" spans="1:15" ht="15.95" customHeight="1" x14ac:dyDescent="0.25">
      <c r="A1329" s="121"/>
      <c r="B1329" s="23"/>
      <c r="C1329" s="59" t="s">
        <v>31</v>
      </c>
      <c r="D1329" s="68"/>
      <c r="E1329" s="43"/>
      <c r="F1329" s="480"/>
      <c r="G1329" s="484"/>
      <c r="H1329" s="656" t="s">
        <v>43</v>
      </c>
      <c r="I1329" s="656"/>
      <c r="J1329" s="92">
        <v>0</v>
      </c>
      <c r="K1329" s="92"/>
      <c r="L1329" s="24"/>
      <c r="M1329" s="24"/>
      <c r="N1329" s="25"/>
      <c r="O1329" s="195"/>
    </row>
    <row r="1330" spans="1:15" ht="15.95" customHeight="1" x14ac:dyDescent="0.25">
      <c r="A1330" s="121"/>
      <c r="B1330" s="23"/>
      <c r="C1330" s="59" t="s">
        <v>32</v>
      </c>
      <c r="D1330" s="68"/>
      <c r="E1330" s="44"/>
      <c r="F1330" s="480"/>
      <c r="G1330" s="485"/>
      <c r="H1330" s="657"/>
      <c r="I1330" s="657"/>
      <c r="J1330" s="392"/>
      <c r="K1330" s="24"/>
      <c r="L1330" s="33"/>
      <c r="M1330" s="33"/>
      <c r="N1330" s="25"/>
      <c r="O1330" s="195"/>
    </row>
    <row r="1331" spans="1:15" ht="15.95" customHeight="1" x14ac:dyDescent="0.25">
      <c r="A1331" s="121"/>
      <c r="B1331" s="23"/>
      <c r="C1331" s="59" t="s">
        <v>81</v>
      </c>
      <c r="D1331" s="68">
        <v>0.33329999999999999</v>
      </c>
      <c r="E1331" s="24"/>
      <c r="F1331" s="480"/>
      <c r="G1331" s="485"/>
      <c r="H1331" s="24"/>
      <c r="I1331" s="24"/>
      <c r="J1331" s="24"/>
      <c r="K1331" s="24"/>
      <c r="L1331" s="24"/>
      <c r="M1331" s="24"/>
      <c r="N1331" s="25"/>
      <c r="O1331" s="195"/>
    </row>
    <row r="1332" spans="1:15" ht="15.95" customHeight="1" x14ac:dyDescent="0.25">
      <c r="A1332" s="121"/>
      <c r="B1332" s="23"/>
      <c r="C1332" s="59" t="s">
        <v>55</v>
      </c>
      <c r="D1332" s="68">
        <v>0.33339999999999997</v>
      </c>
      <c r="E1332" s="24"/>
      <c r="F1332" s="480"/>
      <c r="G1332" s="485"/>
      <c r="H1332" s="638" t="s">
        <v>44</v>
      </c>
      <c r="I1332" s="639"/>
      <c r="J1332" s="639"/>
      <c r="K1332" s="639"/>
      <c r="L1332" s="639"/>
      <c r="M1332" s="640"/>
      <c r="N1332" s="25"/>
      <c r="O1332" s="195"/>
    </row>
    <row r="1333" spans="1:15" ht="15.95" customHeight="1" x14ac:dyDescent="0.25">
      <c r="A1333" s="121"/>
      <c r="B1333" s="23"/>
      <c r="C1333" s="60"/>
      <c r="D1333" s="110"/>
      <c r="E1333" s="24"/>
      <c r="F1333" s="480"/>
      <c r="G1333" s="485"/>
      <c r="H1333" s="23"/>
      <c r="I1333" s="24"/>
      <c r="J1333" s="24"/>
      <c r="K1333" s="24"/>
      <c r="L1333" s="24"/>
      <c r="M1333" s="25"/>
      <c r="N1333" s="25"/>
      <c r="O1333" s="195"/>
    </row>
    <row r="1334" spans="1:15" ht="15.95" customHeight="1" x14ac:dyDescent="0.25">
      <c r="A1334" s="121"/>
      <c r="B1334" s="23"/>
      <c r="C1334" s="24"/>
      <c r="D1334" s="24"/>
      <c r="E1334" s="24"/>
      <c r="F1334" s="480"/>
      <c r="G1334" s="485"/>
      <c r="H1334" s="23"/>
      <c r="I1334" s="24"/>
      <c r="J1334" s="24"/>
      <c r="K1334" s="24"/>
      <c r="L1334" s="24"/>
      <c r="M1334" s="25"/>
      <c r="N1334" s="25"/>
      <c r="O1334" s="195"/>
    </row>
    <row r="1335" spans="1:15" ht="15.95" customHeight="1" x14ac:dyDescent="0.25">
      <c r="A1335" s="121"/>
      <c r="B1335" s="23"/>
      <c r="C1335" s="24"/>
      <c r="D1335" s="24"/>
      <c r="E1335" s="24"/>
      <c r="F1335" s="480"/>
      <c r="G1335" s="485"/>
      <c r="H1335" s="96"/>
      <c r="I1335" s="35"/>
      <c r="J1335" s="24"/>
      <c r="K1335" s="24"/>
      <c r="L1335" s="24"/>
      <c r="M1335" s="25"/>
      <c r="N1335" s="25"/>
      <c r="O1335" s="195"/>
    </row>
    <row r="1336" spans="1:15" ht="15.95" customHeight="1" x14ac:dyDescent="0.25">
      <c r="A1336" s="121"/>
      <c r="B1336" s="23"/>
      <c r="C1336" s="24"/>
      <c r="D1336" s="24"/>
      <c r="E1336" s="24"/>
      <c r="F1336" s="480"/>
      <c r="G1336" s="485"/>
      <c r="H1336" s="23"/>
      <c r="I1336" s="24"/>
      <c r="J1336" s="24"/>
      <c r="K1336" s="24"/>
      <c r="L1336" s="24"/>
      <c r="M1336" s="25"/>
      <c r="N1336" s="25"/>
      <c r="O1336" s="195"/>
    </row>
    <row r="1337" spans="1:15" ht="15.95" customHeight="1" x14ac:dyDescent="0.25">
      <c r="A1337" s="121"/>
      <c r="B1337" s="23"/>
      <c r="C1337" s="24"/>
      <c r="D1337" s="24"/>
      <c r="E1337" s="24"/>
      <c r="F1337" s="480"/>
      <c r="G1337" s="485"/>
      <c r="H1337" s="23"/>
      <c r="I1337" s="24"/>
      <c r="J1337" s="24"/>
      <c r="K1337" s="24"/>
      <c r="L1337" s="24"/>
      <c r="M1337" s="25"/>
      <c r="N1337" s="25"/>
      <c r="O1337" s="195"/>
    </row>
    <row r="1338" spans="1:15" ht="15.95" customHeight="1" x14ac:dyDescent="0.25">
      <c r="A1338" s="121"/>
      <c r="B1338" s="23"/>
      <c r="C1338" s="24"/>
      <c r="D1338" s="24"/>
      <c r="E1338" s="24"/>
      <c r="F1338" s="480"/>
      <c r="G1338" s="485"/>
      <c r="H1338" s="23"/>
      <c r="I1338" s="24"/>
      <c r="J1338" s="24"/>
      <c r="K1338" s="24"/>
      <c r="L1338" s="24"/>
      <c r="M1338" s="25"/>
      <c r="N1338" s="25"/>
      <c r="O1338" s="195"/>
    </row>
    <row r="1339" spans="1:15" ht="15.95" customHeight="1" x14ac:dyDescent="0.25">
      <c r="A1339" s="121"/>
      <c r="B1339" s="23"/>
      <c r="C1339" s="24"/>
      <c r="D1339" s="24"/>
      <c r="E1339" s="24"/>
      <c r="F1339" s="480"/>
      <c r="G1339" s="485"/>
      <c r="H1339" s="23"/>
      <c r="I1339" s="24"/>
      <c r="J1339" s="24"/>
      <c r="K1339" s="24"/>
      <c r="L1339" s="24"/>
      <c r="M1339" s="25"/>
      <c r="N1339" s="25"/>
      <c r="O1339" s="195"/>
    </row>
    <row r="1340" spans="1:15" ht="15.95" customHeight="1" x14ac:dyDescent="0.25">
      <c r="A1340" s="121"/>
      <c r="B1340" s="23"/>
      <c r="C1340" s="24"/>
      <c r="D1340" s="24"/>
      <c r="E1340" s="24"/>
      <c r="F1340" s="480"/>
      <c r="G1340" s="485"/>
      <c r="H1340" s="23"/>
      <c r="I1340" s="24"/>
      <c r="J1340" s="24"/>
      <c r="K1340" s="24"/>
      <c r="L1340" s="24"/>
      <c r="M1340" s="25"/>
      <c r="N1340" s="25"/>
      <c r="O1340" s="194" t="str">
        <f>+D1455</f>
        <v>ON Pyme</v>
      </c>
    </row>
    <row r="1341" spans="1:15" ht="15.95" customHeight="1" x14ac:dyDescent="0.25">
      <c r="A1341" s="121"/>
      <c r="B1341" s="23"/>
      <c r="C1341" s="24"/>
      <c r="D1341" s="24"/>
      <c r="E1341" s="24"/>
      <c r="F1341" s="480"/>
      <c r="G1341" s="485"/>
      <c r="H1341" s="23"/>
      <c r="I1341" s="24"/>
      <c r="J1341" s="24"/>
      <c r="K1341" s="24"/>
      <c r="L1341" s="24"/>
      <c r="M1341" s="25"/>
      <c r="N1341" s="25"/>
      <c r="O1341" s="195"/>
    </row>
    <row r="1342" spans="1:15" ht="20.100000000000001" customHeight="1" x14ac:dyDescent="0.25">
      <c r="A1342" s="121"/>
      <c r="B1342" s="23"/>
      <c r="C1342" s="24"/>
      <c r="D1342" s="24"/>
      <c r="E1342" s="24"/>
      <c r="F1342" s="480"/>
      <c r="G1342" s="485"/>
      <c r="H1342" s="23"/>
      <c r="I1342" s="24"/>
      <c r="J1342" s="24"/>
      <c r="K1342" s="24"/>
      <c r="L1342" s="24"/>
      <c r="M1342" s="25"/>
      <c r="N1342" s="25"/>
      <c r="O1342" s="194" t="str">
        <f>+IF(J1453="vencida",IF(D1455='Reporte - Oscuro'!$C$40,'Reporte - Oscuro'!$C$40&amp;" vencida",IF(D1455='Reporte - Oscuro'!$C$41,'Reporte - Oscuro'!$C$41&amp;" vencida",IF(D1455='Reporte - Oscuro'!$C$42,'Reporte - Oscuro'!$C$42&amp;" vencida",'Reporte - Oscuro'!$C$43&amp;" vencida"))),D1455&amp;" vigente")</f>
        <v>ON Pyme vencida</v>
      </c>
    </row>
    <row r="1343" spans="1:15" ht="15.95" customHeight="1" x14ac:dyDescent="0.25">
      <c r="A1343" s="121"/>
      <c r="B1343" s="23"/>
      <c r="C1343" s="24"/>
      <c r="D1343" s="24"/>
      <c r="E1343" s="24"/>
      <c r="F1343" s="480"/>
      <c r="G1343" s="485"/>
      <c r="H1343" s="23"/>
      <c r="I1343" s="24"/>
      <c r="J1343" s="24"/>
      <c r="K1343" s="24"/>
      <c r="L1343" s="24"/>
      <c r="M1343" s="25"/>
      <c r="N1343" s="25"/>
      <c r="O1343" s="195"/>
    </row>
    <row r="1344" spans="1:15" ht="20.100000000000001" customHeight="1" x14ac:dyDescent="0.25">
      <c r="A1344" s="121"/>
      <c r="B1344" s="23"/>
      <c r="C1344" s="24"/>
      <c r="D1344" s="24"/>
      <c r="E1344" s="24"/>
      <c r="F1344" s="480"/>
      <c r="G1344" s="485"/>
      <c r="H1344" s="23"/>
      <c r="I1344" s="24"/>
      <c r="J1344" s="24"/>
      <c r="K1344" s="24"/>
      <c r="L1344" s="24"/>
      <c r="M1344" s="25"/>
      <c r="N1344" s="25"/>
      <c r="O1344" s="195"/>
    </row>
    <row r="1345" spans="1:17" ht="15.95" customHeight="1" x14ac:dyDescent="0.25">
      <c r="A1345" s="121"/>
      <c r="B1345" s="23"/>
      <c r="C1345" s="24"/>
      <c r="D1345" s="24"/>
      <c r="E1345" s="24"/>
      <c r="F1345" s="480"/>
      <c r="G1345" s="485"/>
      <c r="H1345" s="26"/>
      <c r="I1345" s="27"/>
      <c r="J1345" s="27"/>
      <c r="K1345" s="27"/>
      <c r="L1345" s="27"/>
      <c r="M1345" s="28"/>
      <c r="N1345" s="25"/>
      <c r="O1345" s="195"/>
    </row>
    <row r="1346" spans="1:17" ht="20.100000000000001" customHeight="1" x14ac:dyDescent="0.25">
      <c r="A1346" s="121"/>
      <c r="B1346" s="26"/>
      <c r="C1346" s="27"/>
      <c r="D1346" s="27"/>
      <c r="E1346" s="27"/>
      <c r="F1346" s="481"/>
      <c r="G1346" s="486"/>
      <c r="H1346" s="27"/>
      <c r="I1346" s="27"/>
      <c r="J1346" s="27"/>
      <c r="K1346" s="27"/>
      <c r="L1346" s="27"/>
      <c r="M1346" s="27"/>
      <c r="N1346" s="28"/>
      <c r="O1346" s="195"/>
    </row>
    <row r="1347" spans="1:17" ht="15.95" customHeight="1" x14ac:dyDescent="0.25">
      <c r="A1347" s="122" t="s">
        <v>125</v>
      </c>
      <c r="B1347" s="661" t="s">
        <v>161</v>
      </c>
      <c r="C1347" s="662"/>
      <c r="D1347" s="662"/>
      <c r="E1347" s="662"/>
      <c r="F1347" s="662"/>
      <c r="G1347" s="662"/>
      <c r="H1347" s="662"/>
      <c r="I1347" s="662"/>
      <c r="J1347" s="662"/>
      <c r="K1347" s="662"/>
      <c r="L1347" s="662"/>
      <c r="M1347" s="662"/>
      <c r="N1347" s="663"/>
      <c r="O1347" s="197" t="e">
        <f>+M1460+#REF!</f>
        <v>#REF!</v>
      </c>
      <c r="P1347" s="197" t="e">
        <f>+(M1460/(1+$J$1470)^((H1460-$H$1458)/365))/#REF!</f>
        <v>#REF!</v>
      </c>
      <c r="Q1347" s="197" t="e">
        <f t="shared" ref="Q1347:Q1353" si="117">+P1347*((H1460-$H$1458)/365)</f>
        <v>#REF!</v>
      </c>
    </row>
    <row r="1348" spans="1:17" ht="15.95" customHeight="1" x14ac:dyDescent="0.25">
      <c r="A1348" s="121"/>
      <c r="B1348" s="23"/>
      <c r="C1348" s="24"/>
      <c r="D1348" s="24"/>
      <c r="E1348" s="24"/>
      <c r="F1348" s="483"/>
      <c r="G1348" s="484"/>
      <c r="H1348" s="31"/>
      <c r="I1348" s="31"/>
      <c r="J1348" s="24"/>
      <c r="K1348" s="24"/>
      <c r="L1348" s="24"/>
      <c r="M1348" s="24"/>
      <c r="N1348" s="25"/>
      <c r="O1348" s="197" t="e">
        <f t="shared" ref="O1348:O1353" si="118">+M1461+O1347</f>
        <v>#REF!</v>
      </c>
      <c r="P1348" s="197" t="e">
        <f>+(M1461/(1+$J$1470)^((H1461-$H$1458)/365))/#REF!</f>
        <v>#REF!</v>
      </c>
      <c r="Q1348" s="197" t="e">
        <f t="shared" si="117"/>
        <v>#REF!</v>
      </c>
    </row>
    <row r="1349" spans="1:17" ht="15.95" customHeight="1" x14ac:dyDescent="0.25">
      <c r="A1349" s="121"/>
      <c r="B1349" s="23"/>
      <c r="C1349" s="638" t="s">
        <v>37</v>
      </c>
      <c r="D1349" s="639"/>
      <c r="E1349" s="640"/>
      <c r="F1349" s="483"/>
      <c r="G1349" s="484"/>
      <c r="H1349" s="641" t="s">
        <v>28</v>
      </c>
      <c r="I1349" s="642"/>
      <c r="J1349" s="39">
        <f>+$D$1368-SUMIF($H$1355:$H$1360,"&lt;"&amp;$M$4,$K$1355:$K$1360)</f>
        <v>0</v>
      </c>
      <c r="K1349" s="24"/>
      <c r="L1349" s="24"/>
      <c r="M1349" s="24"/>
      <c r="N1349" s="25"/>
      <c r="O1349" s="197" t="e">
        <f t="shared" si="118"/>
        <v>#REF!</v>
      </c>
      <c r="P1349" s="197" t="e">
        <f>+(M1462/(1+$J$1470)^((H1462-$H$1458)/365))/#REF!</f>
        <v>#REF!</v>
      </c>
      <c r="Q1349" s="197" t="e">
        <f t="shared" si="117"/>
        <v>#REF!</v>
      </c>
    </row>
    <row r="1350" spans="1:17" ht="15.95" customHeight="1" x14ac:dyDescent="0.25">
      <c r="A1350" s="121"/>
      <c r="B1350" s="23"/>
      <c r="C1350" s="58"/>
      <c r="D1350" s="664"/>
      <c r="E1350" s="665"/>
      <c r="F1350" s="483"/>
      <c r="G1350" s="484"/>
      <c r="H1350" s="645" t="s">
        <v>29</v>
      </c>
      <c r="I1350" s="646"/>
      <c r="J1350" s="40">
        <f>+$D$1367</f>
        <v>44328</v>
      </c>
      <c r="K1350" s="24"/>
      <c r="L1350" s="24"/>
      <c r="M1350" s="24"/>
      <c r="N1350" s="25"/>
      <c r="O1350" s="197" t="e">
        <f t="shared" si="118"/>
        <v>#REF!</v>
      </c>
      <c r="P1350" s="197" t="e">
        <f>+(M1463/(1+$J$1470)^((H1463-$H$1458)/365))/#REF!</f>
        <v>#REF!</v>
      </c>
      <c r="Q1350" s="197" t="e">
        <f t="shared" si="117"/>
        <v>#REF!</v>
      </c>
    </row>
    <row r="1351" spans="1:17" ht="15.95" customHeight="1" x14ac:dyDescent="0.25">
      <c r="A1351" s="121"/>
      <c r="B1351" s="23"/>
      <c r="C1351" s="59" t="s">
        <v>25</v>
      </c>
      <c r="D1351" s="658"/>
      <c r="E1351" s="659"/>
      <c r="F1351" s="483"/>
      <c r="G1351" s="484"/>
      <c r="H1351" s="649" t="s">
        <v>30</v>
      </c>
      <c r="I1351" s="650"/>
      <c r="J1351" s="42" t="str">
        <f t="array" ref="J1351">+IF(H1360&gt;=M4,MIN(IF(H1355:H1361&gt;=$M$4,H1355:H1361,"")),"vencida")</f>
        <v>vencida</v>
      </c>
      <c r="K1351" s="24"/>
      <c r="L1351" s="24"/>
      <c r="M1351" s="24"/>
      <c r="N1351" s="25"/>
      <c r="O1351" s="197" t="e">
        <f t="shared" si="118"/>
        <v>#REF!</v>
      </c>
      <c r="P1351" s="197" t="e">
        <f>+(M1464/(1+$J$1470)^((H1464-$H$1458)/365))/#REF!</f>
        <v>#REF!</v>
      </c>
      <c r="Q1351" s="197" t="e">
        <f t="shared" si="117"/>
        <v>#REF!</v>
      </c>
    </row>
    <row r="1352" spans="1:17" ht="15.95" customHeight="1" x14ac:dyDescent="0.25">
      <c r="A1352" s="121"/>
      <c r="B1352" s="23"/>
      <c r="C1352" s="59" t="s">
        <v>6</v>
      </c>
      <c r="D1352" s="658" t="s">
        <v>160</v>
      </c>
      <c r="E1352" s="659"/>
      <c r="F1352" s="483"/>
      <c r="G1352" s="484"/>
      <c r="H1352" s="24"/>
      <c r="I1352" s="24"/>
      <c r="J1352" s="24"/>
      <c r="K1352" s="24"/>
      <c r="L1352" s="24"/>
      <c r="M1352" s="24"/>
      <c r="N1352" s="25"/>
      <c r="O1352" s="197" t="e">
        <f t="shared" si="118"/>
        <v>#REF!</v>
      </c>
      <c r="P1352" s="197" t="e">
        <f>+(M1465/(1+$J$1470)^((H1465-$H$1458)/365))/#REF!</f>
        <v>#REF!</v>
      </c>
      <c r="Q1352" s="197" t="e">
        <f t="shared" si="117"/>
        <v>#REF!</v>
      </c>
    </row>
    <row r="1353" spans="1:17" ht="15.95" customHeight="1" x14ac:dyDescent="0.25">
      <c r="A1353" s="121"/>
      <c r="B1353" s="23"/>
      <c r="C1353" s="59" t="s">
        <v>8</v>
      </c>
      <c r="D1353" s="658" t="s">
        <v>17</v>
      </c>
      <c r="E1353" s="659"/>
      <c r="F1353" s="483"/>
      <c r="G1353" s="484"/>
      <c r="H1353" s="651" t="s">
        <v>41</v>
      </c>
      <c r="I1353" s="652"/>
      <c r="J1353" s="652"/>
      <c r="K1353" s="652"/>
      <c r="L1353" s="653"/>
      <c r="M1353" s="24"/>
      <c r="N1353" s="25"/>
      <c r="O1353" s="197" t="e">
        <f t="shared" si="118"/>
        <v>#REF!</v>
      </c>
      <c r="P1353" s="197" t="e">
        <f>+(M1466/(1+$J$1470)^((H1466-$H$1458)/365))/#REF!</f>
        <v>#REF!</v>
      </c>
      <c r="Q1353" s="197" t="e">
        <f t="shared" si="117"/>
        <v>#REF!</v>
      </c>
    </row>
    <row r="1354" spans="1:17" ht="15.95" customHeight="1" x14ac:dyDescent="0.25">
      <c r="A1354" s="121"/>
      <c r="B1354" s="23"/>
      <c r="C1354" s="59" t="s">
        <v>33</v>
      </c>
      <c r="D1354" s="73" t="s">
        <v>313</v>
      </c>
      <c r="E1354" s="273">
        <v>0.5</v>
      </c>
      <c r="F1354" s="483">
        <f>+E1354*$J$1349</f>
        <v>0</v>
      </c>
      <c r="G1354" s="484"/>
      <c r="H1354" s="81" t="s">
        <v>0</v>
      </c>
      <c r="I1354" s="82" t="s">
        <v>2</v>
      </c>
      <c r="J1354" s="82" t="s">
        <v>3</v>
      </c>
      <c r="K1354" s="82" t="s">
        <v>4</v>
      </c>
      <c r="L1354" s="83" t="s">
        <v>5</v>
      </c>
      <c r="M1354" s="82" t="s">
        <v>44</v>
      </c>
      <c r="N1354" s="25"/>
      <c r="O1354" s="197"/>
      <c r="P1354" s="197"/>
      <c r="Q1354" s="197"/>
    </row>
    <row r="1355" spans="1:17" ht="15.95" customHeight="1" x14ac:dyDescent="0.25">
      <c r="A1355" s="121"/>
      <c r="B1355" s="23"/>
      <c r="C1355" s="59" t="s">
        <v>33</v>
      </c>
      <c r="D1355" s="73" t="s">
        <v>319</v>
      </c>
      <c r="E1355" s="273">
        <v>0.5</v>
      </c>
      <c r="F1355" s="483">
        <f>+E1355*$J$1349</f>
        <v>0</v>
      </c>
      <c r="G1355" s="484"/>
      <c r="H1355" s="45"/>
      <c r="I1355" s="46"/>
      <c r="J1355" s="46"/>
      <c r="K1355" s="46"/>
      <c r="L1355" s="47"/>
      <c r="M1355" s="23"/>
      <c r="N1355" s="25"/>
      <c r="O1355" s="197"/>
      <c r="P1355" s="197"/>
      <c r="Q1355" s="197"/>
    </row>
    <row r="1356" spans="1:17" ht="15.95" customHeight="1" x14ac:dyDescent="0.25">
      <c r="A1356" s="121"/>
      <c r="B1356" s="23"/>
      <c r="C1356" s="59" t="s">
        <v>34</v>
      </c>
      <c r="D1356" s="658" t="s">
        <v>48</v>
      </c>
      <c r="E1356" s="659"/>
      <c r="F1356" s="483"/>
      <c r="G1356" s="484"/>
      <c r="H1356" s="48">
        <f>+$D$1366</f>
        <v>43599</v>
      </c>
      <c r="I1356" s="70"/>
      <c r="J1356" s="49"/>
      <c r="K1356" s="49"/>
      <c r="L1356" s="50">
        <f>+D1368</f>
        <v>18000000</v>
      </c>
      <c r="M1356" s="93">
        <f>-L1356</f>
        <v>-18000000</v>
      </c>
      <c r="N1356" s="25"/>
      <c r="O1356" s="197"/>
      <c r="P1356" s="197"/>
      <c r="Q1356" s="197"/>
    </row>
    <row r="1357" spans="1:17" ht="15.95" customHeight="1" x14ac:dyDescent="0.25">
      <c r="A1357" s="121"/>
      <c r="B1357" s="23"/>
      <c r="C1357" s="79" t="s">
        <v>38</v>
      </c>
      <c r="D1357" s="75"/>
      <c r="E1357" s="76"/>
      <c r="F1357" s="483"/>
      <c r="G1357" s="484"/>
      <c r="H1357" s="51">
        <f>IF(DAY(H1356)=DAY($H$1356),IF(WEEKDAY(EDATE(H1356,$D$1369),3)&lt;5,EDATE(H1356,$D$1369),WORKDAY(EDATE(H1356,$D$1369),1)),IF(WEEKDAY(EDATE($H$1356,$D$1369*COUNT($H$1356:H1356)),3)&lt;5,EDATE($H$1356,$D$1369*COUNT($H$1356:H1356)),WORKDAY(EDATE($H$1356,$D$1369*COUNT($H$1356:H1356)),1)))</f>
        <v>43783</v>
      </c>
      <c r="I1357" s="71" t="s">
        <v>13</v>
      </c>
      <c r="J1357" s="52">
        <v>5324500</v>
      </c>
      <c r="K1357" s="52">
        <f>+IF(OR(I1357="A + C",I1357="A"),$D$1368*$D$1374,0)</f>
        <v>4500000</v>
      </c>
      <c r="L1357" s="53">
        <f>+L1356-K1357</f>
        <v>13500000</v>
      </c>
      <c r="M1357" s="94">
        <f>+J1357+K1357</f>
        <v>9824500</v>
      </c>
      <c r="N1357" s="25"/>
      <c r="O1357" s="197"/>
      <c r="P1357" s="197"/>
      <c r="Q1357" s="197"/>
    </row>
    <row r="1358" spans="1:17" ht="15.95" customHeight="1" x14ac:dyDescent="0.25">
      <c r="A1358" s="121"/>
      <c r="B1358" s="23"/>
      <c r="C1358" s="59"/>
      <c r="D1358" s="73"/>
      <c r="E1358" s="74"/>
      <c r="F1358" s="483"/>
      <c r="G1358" s="484"/>
      <c r="H1358" s="51">
        <f>IF(DAY(H1357)=DAY($H$1356),IF(WEEKDAY(EDATE(H1357,$D$1369),3)&lt;5,EDATE(H1357,$D$1369),WORKDAY(EDATE(H1357,$D$1369),1)),IF(WEEKDAY(EDATE($H$1356,$D$1369*COUNT($H$1356:H1357)),3)&lt;5,EDATE($H$1356,$D$1369*COUNT($H$1356:H1357)),WORKDAY(EDATE($H$1356,$D$1369*COUNT($H$1356:H1357)),1)))</f>
        <v>43965</v>
      </c>
      <c r="I1358" s="71" t="s">
        <v>13</v>
      </c>
      <c r="J1358" s="52">
        <v>3062718.75</v>
      </c>
      <c r="K1358" s="52">
        <f>+IF(OR(I1358="A + C",I1358="A"),$D$1368*$D$1374,0)</f>
        <v>4500000</v>
      </c>
      <c r="L1358" s="53">
        <f>+L1357-K1358</f>
        <v>9000000</v>
      </c>
      <c r="M1358" s="94">
        <f>+J1358+K1358</f>
        <v>7562718.75</v>
      </c>
      <c r="N1358" s="25"/>
      <c r="O1358" s="197"/>
      <c r="P1358" s="197"/>
      <c r="Q1358" s="197"/>
    </row>
    <row r="1359" spans="1:17" ht="15.95" customHeight="1" x14ac:dyDescent="0.25">
      <c r="A1359" s="121"/>
      <c r="B1359" s="23"/>
      <c r="C1359" s="60"/>
      <c r="D1359" s="77"/>
      <c r="E1359" s="78"/>
      <c r="F1359" s="483"/>
      <c r="G1359" s="484"/>
      <c r="H1359" s="51">
        <f>IF(DAY(H1358)=DAY($H$1356),IF(WEEKDAY(EDATE(H1358,$D$1369),3)&lt;5,EDATE(H1358,$D$1369),WORKDAY(EDATE(H1358,$D$1369),1)),IF(WEEKDAY(EDATE($H$1356,$D$1369*COUNT($H$1356:H1358)),3)&lt;5,EDATE($H$1356,$D$1369*COUNT($H$1356:H1358)),WORKDAY(EDATE($H$1356,$D$1369*COUNT($H$1356:H1358)),1)))</f>
        <v>44151</v>
      </c>
      <c r="I1359" s="71" t="s">
        <v>13</v>
      </c>
      <c r="J1359" s="52">
        <v>1586812.5</v>
      </c>
      <c r="K1359" s="52">
        <f>+IF(OR(I1359="A + C",I1359="A"),$D$1368*$D$1374,0)</f>
        <v>4500000</v>
      </c>
      <c r="L1359" s="53">
        <f>+L1358-K1359</f>
        <v>4500000</v>
      </c>
      <c r="M1359" s="94">
        <f>+J1359+K1359</f>
        <v>6086812.5</v>
      </c>
      <c r="N1359" s="25"/>
      <c r="O1359" s="197"/>
      <c r="P1359" s="197"/>
      <c r="Q1359" s="197"/>
    </row>
    <row r="1360" spans="1:17" ht="15.95" customHeight="1" x14ac:dyDescent="0.25">
      <c r="A1360" s="121"/>
      <c r="B1360" s="32"/>
      <c r="C1360" s="60"/>
      <c r="D1360" s="275" t="str">
        <f>+B1347</f>
        <v>Horwarth Consulting I</v>
      </c>
      <c r="E1360" s="276"/>
      <c r="F1360" s="483"/>
      <c r="G1360" s="484">
        <f>+J1349</f>
        <v>0</v>
      </c>
      <c r="H1360" s="51">
        <f>IF(DAY(H1359)=DAY($H$1356),IF(WEEKDAY(EDATE(H1359,$D$1369),3)&lt;5,EDATE(H1359,$D$1369),WORKDAY(EDATE(H1359,$D$1369),1)),IF(WEEKDAY(EDATE($H$1356,$D$1369*COUNT($H$1356:H1359)),3)&lt;5,EDATE($H$1356,$D$1369*COUNT($H$1356:H1359)),WORKDAY(EDATE($H$1356,$D$1369*COUNT($H$1356:H1359)),1)))</f>
        <v>44330</v>
      </c>
      <c r="I1360" s="71" t="s">
        <v>13</v>
      </c>
      <c r="J1360" s="52">
        <v>763546.875</v>
      </c>
      <c r="K1360" s="52">
        <f>+IF(OR(I1360="A + C",I1360="A"),$D$1368*$D$1374,0)</f>
        <v>4500000</v>
      </c>
      <c r="L1360" s="53">
        <f>+L1359-K1360</f>
        <v>0</v>
      </c>
      <c r="M1360" s="94">
        <f>+J1360+K1360</f>
        <v>5263546.875</v>
      </c>
      <c r="N1360" s="25"/>
      <c r="O1360" s="197"/>
      <c r="P1360" s="197"/>
      <c r="Q1360" s="197"/>
    </row>
    <row r="1361" spans="1:17" ht="15.95" customHeight="1" x14ac:dyDescent="0.25">
      <c r="A1361" s="121"/>
      <c r="B1361" s="23"/>
      <c r="D1361" s="277"/>
      <c r="E1361" s="277"/>
      <c r="F1361" s="483"/>
      <c r="G1361" s="484"/>
      <c r="H1361" s="54"/>
      <c r="I1361" s="104"/>
      <c r="J1361" s="105"/>
      <c r="K1361" s="105"/>
      <c r="L1361" s="106"/>
      <c r="M1361" s="109"/>
      <c r="N1361" s="25"/>
      <c r="O1361" s="197"/>
      <c r="P1361" s="197"/>
      <c r="Q1361" s="197"/>
    </row>
    <row r="1362" spans="1:17" ht="15.95" customHeight="1" x14ac:dyDescent="0.25">
      <c r="A1362" s="121"/>
      <c r="B1362" s="23"/>
      <c r="C1362" s="638" t="s">
        <v>36</v>
      </c>
      <c r="D1362" s="640"/>
      <c r="E1362" s="36"/>
      <c r="F1362" s="483"/>
      <c r="G1362" s="484"/>
      <c r="H1362" s="109"/>
      <c r="I1362" s="109"/>
      <c r="J1362" s="109"/>
      <c r="K1362" s="109"/>
      <c r="L1362" s="109"/>
      <c r="M1362" s="109"/>
      <c r="N1362" s="25"/>
      <c r="O1362" s="197"/>
      <c r="P1362" s="197"/>
      <c r="Q1362" s="197"/>
    </row>
    <row r="1363" spans="1:17" ht="15.95" customHeight="1" x14ac:dyDescent="0.25">
      <c r="A1363" s="121"/>
      <c r="B1363" s="23"/>
      <c r="C1363" s="59"/>
      <c r="D1363" s="62"/>
      <c r="E1363" s="36"/>
      <c r="F1363" s="483"/>
      <c r="G1363" s="484"/>
      <c r="H1363" s="656" t="s">
        <v>43</v>
      </c>
      <c r="I1363" s="656"/>
      <c r="J1363" s="92">
        <v>0</v>
      </c>
      <c r="K1363" s="92"/>
      <c r="L1363" s="24"/>
      <c r="M1363" s="24"/>
      <c r="N1363" s="25"/>
      <c r="O1363" s="197"/>
      <c r="P1363" s="197"/>
      <c r="Q1363" s="197"/>
    </row>
    <row r="1364" spans="1:17" ht="15.95" customHeight="1" x14ac:dyDescent="0.25">
      <c r="A1364" s="121"/>
      <c r="B1364" s="23"/>
      <c r="C1364" s="59" t="s">
        <v>9</v>
      </c>
      <c r="D1364" s="98" t="s">
        <v>18</v>
      </c>
      <c r="E1364" s="36"/>
      <c r="F1364" s="483"/>
      <c r="G1364" s="484"/>
      <c r="H1364" s="657"/>
      <c r="I1364" s="657"/>
      <c r="J1364" s="392"/>
      <c r="K1364" s="24"/>
      <c r="L1364" s="33"/>
      <c r="M1364" s="33"/>
      <c r="N1364" s="25"/>
      <c r="O1364" s="197"/>
      <c r="P1364" s="197"/>
      <c r="Q1364" s="197"/>
    </row>
    <row r="1365" spans="1:17" ht="15.95" customHeight="1" x14ac:dyDescent="0.25">
      <c r="A1365" s="121"/>
      <c r="B1365" s="23"/>
      <c r="C1365" s="59" t="s">
        <v>10</v>
      </c>
      <c r="D1365" s="65">
        <v>43595</v>
      </c>
      <c r="E1365" s="36"/>
      <c r="F1365" s="483"/>
      <c r="G1365" s="484"/>
      <c r="H1365" s="24"/>
      <c r="I1365" s="24"/>
      <c r="J1365" s="24"/>
      <c r="K1365" s="24"/>
      <c r="L1365" s="24"/>
      <c r="M1365" s="24"/>
      <c r="N1365" s="25"/>
      <c r="O1365" s="197"/>
      <c r="P1365" s="197"/>
      <c r="Q1365" s="197"/>
    </row>
    <row r="1366" spans="1:17" ht="15.95" customHeight="1" x14ac:dyDescent="0.25">
      <c r="A1366" s="121"/>
      <c r="B1366" s="23"/>
      <c r="C1366" s="59" t="s">
        <v>11</v>
      </c>
      <c r="D1366" s="65">
        <v>43599</v>
      </c>
      <c r="E1366" s="36"/>
      <c r="F1366" s="483"/>
      <c r="G1366" s="484"/>
      <c r="H1366" s="638" t="s">
        <v>44</v>
      </c>
      <c r="I1366" s="639"/>
      <c r="J1366" s="639"/>
      <c r="K1366" s="639"/>
      <c r="L1366" s="639"/>
      <c r="M1366" s="640"/>
      <c r="N1366" s="25"/>
      <c r="O1366" s="197"/>
      <c r="P1366" s="197"/>
      <c r="Q1366" s="197"/>
    </row>
    <row r="1367" spans="1:17" ht="15.95" customHeight="1" x14ac:dyDescent="0.25">
      <c r="A1367" s="121"/>
      <c r="B1367" s="23"/>
      <c r="C1367" s="59" t="s">
        <v>12</v>
      </c>
      <c r="D1367" s="65">
        <v>44328</v>
      </c>
      <c r="E1367" s="36"/>
      <c r="F1367" s="480"/>
      <c r="G1367" s="484"/>
      <c r="H1367" s="23"/>
      <c r="I1367" s="24"/>
      <c r="J1367" s="24"/>
      <c r="K1367" s="24"/>
      <c r="L1367" s="24"/>
      <c r="M1367" s="25"/>
      <c r="N1367" s="25"/>
      <c r="O1367" s="197"/>
      <c r="P1367" s="197"/>
      <c r="Q1367" s="197"/>
    </row>
    <row r="1368" spans="1:17" ht="15.95" customHeight="1" x14ac:dyDescent="0.25">
      <c r="A1368" s="121"/>
      <c r="B1368" s="23"/>
      <c r="C1368" s="59" t="s">
        <v>27</v>
      </c>
      <c r="D1368" s="66">
        <v>18000000</v>
      </c>
      <c r="E1368" s="41"/>
      <c r="F1368" s="480"/>
      <c r="G1368" s="484"/>
      <c r="H1368" s="23"/>
      <c r="I1368" s="24"/>
      <c r="J1368" s="24"/>
      <c r="K1368" s="24"/>
      <c r="L1368" s="24"/>
      <c r="M1368" s="25"/>
      <c r="N1368" s="25"/>
      <c r="O1368" s="197"/>
      <c r="P1368" s="197"/>
      <c r="Q1368" s="197"/>
    </row>
    <row r="1369" spans="1:17" ht="15.95" customHeight="1" x14ac:dyDescent="0.25">
      <c r="A1369" s="121"/>
      <c r="B1369" s="23"/>
      <c r="C1369" s="59" t="s">
        <v>26</v>
      </c>
      <c r="D1369" s="66">
        <v>6</v>
      </c>
      <c r="E1369" s="36"/>
      <c r="F1369" s="480"/>
      <c r="G1369" s="484"/>
      <c r="H1369" s="96"/>
      <c r="I1369" s="35"/>
      <c r="J1369" s="24"/>
      <c r="K1369" s="24"/>
      <c r="L1369" s="24"/>
      <c r="M1369" s="25"/>
      <c r="N1369" s="25"/>
      <c r="O1369" s="197"/>
      <c r="P1369" s="197"/>
      <c r="Q1369" s="197"/>
    </row>
    <row r="1370" spans="1:17" ht="15.95" customHeight="1" x14ac:dyDescent="0.25">
      <c r="A1370" s="121"/>
      <c r="B1370" s="23"/>
      <c r="C1370" s="59" t="s">
        <v>19</v>
      </c>
      <c r="D1370" s="67" t="s">
        <v>20</v>
      </c>
      <c r="E1370" s="43"/>
      <c r="F1370" s="480"/>
      <c r="G1370" s="484"/>
      <c r="H1370" s="23"/>
      <c r="I1370" s="24"/>
      <c r="J1370" s="24"/>
      <c r="K1370" s="24"/>
      <c r="L1370" s="24"/>
      <c r="M1370" s="25"/>
      <c r="N1370" s="25"/>
      <c r="O1370" s="197"/>
      <c r="P1370" s="197"/>
      <c r="Q1370" s="197"/>
    </row>
    <row r="1371" spans="1:17" ht="15.95" customHeight="1" x14ac:dyDescent="0.25">
      <c r="A1371" s="121"/>
      <c r="B1371" s="23"/>
      <c r="C1371" s="59" t="s">
        <v>14</v>
      </c>
      <c r="D1371" s="68">
        <v>0.08</v>
      </c>
      <c r="E1371" s="43"/>
      <c r="F1371" s="480"/>
      <c r="G1371" s="484"/>
      <c r="H1371" s="23"/>
      <c r="I1371" s="24"/>
      <c r="J1371" s="24"/>
      <c r="K1371" s="24"/>
      <c r="L1371" s="24"/>
      <c r="M1371" s="25"/>
      <c r="N1371" s="25"/>
      <c r="O1371" s="197"/>
      <c r="P1371" s="197"/>
      <c r="Q1371" s="197"/>
    </row>
    <row r="1372" spans="1:17" ht="15.95" customHeight="1" x14ac:dyDescent="0.25">
      <c r="A1372" s="121"/>
      <c r="B1372" s="23"/>
      <c r="C1372" s="59" t="s">
        <v>31</v>
      </c>
      <c r="D1372" s="68"/>
      <c r="E1372" s="43"/>
      <c r="F1372" s="480"/>
      <c r="G1372" s="484"/>
      <c r="H1372" s="23"/>
      <c r="I1372" s="24"/>
      <c r="J1372" s="24"/>
      <c r="K1372" s="24"/>
      <c r="L1372" s="24"/>
      <c r="M1372" s="25"/>
      <c r="N1372" s="25"/>
      <c r="O1372" s="195"/>
      <c r="P1372" s="29"/>
    </row>
    <row r="1373" spans="1:17" ht="15.95" customHeight="1" x14ac:dyDescent="0.25">
      <c r="A1373" s="121"/>
      <c r="B1373" s="23"/>
      <c r="C1373" s="59" t="s">
        <v>32</v>
      </c>
      <c r="D1373" s="68"/>
      <c r="E1373" s="44"/>
      <c r="F1373" s="480"/>
      <c r="G1373" s="484"/>
      <c r="H1373" s="23"/>
      <c r="I1373" s="24"/>
      <c r="J1373" s="24"/>
      <c r="K1373" s="24"/>
      <c r="L1373" s="24"/>
      <c r="M1373" s="25"/>
      <c r="N1373" s="25"/>
      <c r="O1373" s="195"/>
    </row>
    <row r="1374" spans="1:17" ht="15.95" customHeight="1" x14ac:dyDescent="0.25">
      <c r="A1374" s="121"/>
      <c r="B1374" s="23"/>
      <c r="C1374" s="59" t="s">
        <v>64</v>
      </c>
      <c r="D1374" s="68">
        <v>0.25</v>
      </c>
      <c r="E1374" s="24"/>
      <c r="F1374" s="480"/>
      <c r="G1374" s="484"/>
      <c r="H1374" s="23"/>
      <c r="I1374" s="24"/>
      <c r="J1374" s="24"/>
      <c r="K1374" s="24"/>
      <c r="L1374" s="24"/>
      <c r="M1374" s="25"/>
      <c r="N1374" s="25"/>
      <c r="O1374" s="195"/>
      <c r="P1374" s="37"/>
    </row>
    <row r="1375" spans="1:17" ht="15.95" customHeight="1" x14ac:dyDescent="0.25">
      <c r="A1375" s="121"/>
      <c r="B1375" s="23"/>
      <c r="C1375" s="60"/>
      <c r="D1375" s="110"/>
      <c r="E1375" s="24"/>
      <c r="F1375" s="480"/>
      <c r="G1375" s="484"/>
      <c r="H1375" s="23"/>
      <c r="I1375" s="24"/>
      <c r="J1375" s="24"/>
      <c r="K1375" s="24"/>
      <c r="L1375" s="24"/>
      <c r="M1375" s="25"/>
      <c r="N1375" s="25"/>
      <c r="O1375" s="195"/>
    </row>
    <row r="1376" spans="1:17" ht="15.95" customHeight="1" x14ac:dyDescent="0.25">
      <c r="A1376" s="121"/>
      <c r="B1376" s="23"/>
      <c r="C1376" s="24"/>
      <c r="D1376" s="24"/>
      <c r="E1376" s="24"/>
      <c r="F1376" s="480"/>
      <c r="G1376" s="485"/>
      <c r="H1376" s="23"/>
      <c r="I1376" s="24"/>
      <c r="J1376" s="24"/>
      <c r="K1376" s="24"/>
      <c r="L1376" s="24"/>
      <c r="M1376" s="25"/>
      <c r="N1376" s="25"/>
      <c r="O1376" s="195"/>
    </row>
    <row r="1377" spans="1:17" ht="15.95" customHeight="1" x14ac:dyDescent="0.25">
      <c r="A1377" s="121"/>
      <c r="B1377" s="23"/>
      <c r="C1377" s="24"/>
      <c r="D1377" s="24"/>
      <c r="E1377" s="24"/>
      <c r="F1377" s="480"/>
      <c r="G1377" s="485"/>
      <c r="H1377" s="23"/>
      <c r="I1377" s="24"/>
      <c r="J1377" s="24"/>
      <c r="K1377" s="24"/>
      <c r="L1377" s="24"/>
      <c r="M1377" s="25"/>
      <c r="N1377" s="25"/>
      <c r="O1377" s="194" t="str">
        <f>+D1492</f>
        <v>ON Pyme CNV Garantizada</v>
      </c>
    </row>
    <row r="1378" spans="1:17" ht="15.95" customHeight="1" x14ac:dyDescent="0.25">
      <c r="A1378" s="121"/>
      <c r="B1378" s="23"/>
      <c r="C1378" s="24"/>
      <c r="D1378" s="24"/>
      <c r="E1378" s="24"/>
      <c r="F1378" s="480"/>
      <c r="G1378" s="485"/>
      <c r="H1378" s="23"/>
      <c r="I1378" s="24"/>
      <c r="J1378" s="24"/>
      <c r="K1378" s="24"/>
      <c r="L1378" s="24"/>
      <c r="M1378" s="25"/>
      <c r="N1378" s="25"/>
      <c r="O1378" s="195"/>
    </row>
    <row r="1379" spans="1:17" ht="15.95" customHeight="1" x14ac:dyDescent="0.25">
      <c r="A1379" s="121"/>
      <c r="B1379" s="23"/>
      <c r="C1379" s="24"/>
      <c r="D1379" s="24"/>
      <c r="E1379" s="24"/>
      <c r="F1379" s="480"/>
      <c r="G1379" s="485"/>
      <c r="H1379" s="26"/>
      <c r="I1379" s="27"/>
      <c r="J1379" s="27"/>
      <c r="K1379" s="27"/>
      <c r="L1379" s="27"/>
      <c r="M1379" s="28"/>
      <c r="N1379" s="25"/>
      <c r="O1379" s="194" t="str">
        <f>+IF(J1490="vencida",IF(D1492='Reporte - Oscuro'!$C$40,'Reporte - Oscuro'!$C$40&amp;" vencida",IF(D1492='Reporte - Oscuro'!$C$41,'Reporte - Oscuro'!$C$41&amp;" vencida",IF(D1492='Reporte - Oscuro'!$C$42,'Reporte - Oscuro'!$C$42&amp;" vencida",'Reporte - Oscuro'!$C$43&amp;" vencida"))),D1492&amp;" vigente")</f>
        <v>ON Pyme CNV Garantizada vencida</v>
      </c>
    </row>
    <row r="1380" spans="1:17" ht="15.95" customHeight="1" x14ac:dyDescent="0.25">
      <c r="A1380" s="121"/>
      <c r="B1380" s="26"/>
      <c r="C1380" s="27"/>
      <c r="D1380" s="27"/>
      <c r="E1380" s="27"/>
      <c r="F1380" s="481"/>
      <c r="G1380" s="486"/>
      <c r="H1380" s="27"/>
      <c r="I1380" s="27"/>
      <c r="J1380" s="27"/>
      <c r="K1380" s="27"/>
      <c r="L1380" s="27"/>
      <c r="M1380" s="27"/>
      <c r="N1380" s="28"/>
      <c r="O1380" s="195"/>
    </row>
    <row r="1381" spans="1:17" ht="20.100000000000001" customHeight="1" x14ac:dyDescent="0.25">
      <c r="A1381" s="122" t="s">
        <v>48</v>
      </c>
      <c r="B1381" s="635" t="s">
        <v>353</v>
      </c>
      <c r="C1381" s="636"/>
      <c r="D1381" s="636"/>
      <c r="E1381" s="636"/>
      <c r="F1381" s="636"/>
      <c r="G1381" s="636"/>
      <c r="H1381" s="636"/>
      <c r="I1381" s="636"/>
      <c r="J1381" s="636"/>
      <c r="K1381" s="636"/>
      <c r="L1381" s="636"/>
      <c r="M1381" s="636"/>
      <c r="N1381" s="637"/>
      <c r="O1381" s="195"/>
    </row>
    <row r="1382" spans="1:17" ht="15.95" customHeight="1" x14ac:dyDescent="0.25">
      <c r="A1382" s="121"/>
      <c r="B1382" s="23"/>
      <c r="C1382" s="24"/>
      <c r="D1382" s="24"/>
      <c r="E1382" s="24"/>
      <c r="F1382" s="483"/>
      <c r="G1382" s="484"/>
      <c r="H1382" s="31"/>
      <c r="I1382" s="31"/>
      <c r="J1382" s="24"/>
      <c r="K1382" s="24"/>
      <c r="L1382" s="24"/>
      <c r="M1382" s="24"/>
      <c r="N1382" s="25"/>
      <c r="O1382" s="195"/>
    </row>
    <row r="1383" spans="1:17" ht="15.95" customHeight="1" x14ac:dyDescent="0.25">
      <c r="A1383" s="121"/>
      <c r="B1383" s="23"/>
      <c r="C1383" s="638" t="s">
        <v>37</v>
      </c>
      <c r="D1383" s="639"/>
      <c r="E1383" s="640"/>
      <c r="F1383" s="483"/>
      <c r="G1383" s="484"/>
      <c r="H1383" s="641" t="s">
        <v>28</v>
      </c>
      <c r="I1383" s="642"/>
      <c r="J1383" s="39">
        <f>+$D$1401-SUMIF($H$1389:$H$1397,"&lt;"&amp;$M$4,$K$1389:$K$1397)</f>
        <v>0</v>
      </c>
      <c r="K1383" s="24"/>
      <c r="L1383" s="24"/>
      <c r="M1383" s="24"/>
      <c r="N1383" s="25"/>
      <c r="O1383" s="197">
        <f>+M1495</f>
        <v>-30000000</v>
      </c>
    </row>
    <row r="1384" spans="1:17" ht="15.95" customHeight="1" x14ac:dyDescent="0.25">
      <c r="A1384" s="121"/>
      <c r="B1384" s="23"/>
      <c r="C1384" s="58"/>
      <c r="D1384" s="664"/>
      <c r="E1384" s="665"/>
      <c r="F1384" s="483"/>
      <c r="G1384" s="484"/>
      <c r="H1384" s="645" t="s">
        <v>29</v>
      </c>
      <c r="I1384" s="646"/>
      <c r="J1384" s="40">
        <f>+$D$1400</f>
        <v>45102</v>
      </c>
      <c r="K1384" s="24"/>
      <c r="L1384" s="24"/>
      <c r="M1384" s="24"/>
      <c r="N1384" s="25"/>
      <c r="O1384" s="197">
        <f t="shared" ref="O1384:O1391" si="119">+O1383+M1496</f>
        <v>-26484657.534246575</v>
      </c>
    </row>
    <row r="1385" spans="1:17" ht="15.95" customHeight="1" x14ac:dyDescent="0.25">
      <c r="A1385" s="121"/>
      <c r="B1385" s="23"/>
      <c r="C1385" s="59" t="s">
        <v>25</v>
      </c>
      <c r="D1385" s="658"/>
      <c r="E1385" s="659"/>
      <c r="F1385" s="483"/>
      <c r="G1385" s="484"/>
      <c r="H1385" s="649" t="s">
        <v>30</v>
      </c>
      <c r="I1385" s="650"/>
      <c r="J1385" s="42" t="str">
        <f t="array" ref="J1385">+IF(H1397&gt;=$M$4,MIN(IF(H1389:H1397&gt;=$M$4,H1389:H1397,"")),"vencida")</f>
        <v>vencida</v>
      </c>
      <c r="K1385" s="24"/>
      <c r="L1385" s="24"/>
      <c r="M1385" s="24"/>
      <c r="N1385" s="25"/>
      <c r="O1385" s="197">
        <f t="shared" si="119"/>
        <v>-16469126.712328767</v>
      </c>
    </row>
    <row r="1386" spans="1:17" ht="15.95" customHeight="1" x14ac:dyDescent="0.25">
      <c r="A1386" s="121"/>
      <c r="B1386" s="23"/>
      <c r="C1386" s="59" t="s">
        <v>6</v>
      </c>
      <c r="D1386" s="658" t="s">
        <v>352</v>
      </c>
      <c r="E1386" s="659"/>
      <c r="F1386" s="483"/>
      <c r="G1386" s="484"/>
      <c r="H1386" s="24"/>
      <c r="I1386" s="24"/>
      <c r="J1386" s="24"/>
      <c r="K1386" s="24"/>
      <c r="L1386" s="24"/>
      <c r="M1386" s="24"/>
      <c r="N1386" s="25"/>
      <c r="O1386" s="197">
        <f t="shared" si="119"/>
        <v>-12516236.301369863</v>
      </c>
    </row>
    <row r="1387" spans="1:17" ht="15.95" customHeight="1" x14ac:dyDescent="0.25">
      <c r="A1387" s="121"/>
      <c r="B1387" s="23"/>
      <c r="C1387" s="59" t="s">
        <v>8</v>
      </c>
      <c r="D1387" s="658" t="s">
        <v>17</v>
      </c>
      <c r="E1387" s="659"/>
      <c r="F1387" s="483"/>
      <c r="G1387" s="484"/>
      <c r="H1387" s="651" t="s">
        <v>41</v>
      </c>
      <c r="I1387" s="652"/>
      <c r="J1387" s="652"/>
      <c r="K1387" s="652"/>
      <c r="L1387" s="653"/>
      <c r="M1387" s="24"/>
      <c r="N1387" s="25"/>
      <c r="O1387" s="197">
        <f t="shared" si="119"/>
        <v>-1969797.945205478</v>
      </c>
    </row>
    <row r="1388" spans="1:17" ht="15.95" customHeight="1" x14ac:dyDescent="0.25">
      <c r="A1388" s="121"/>
      <c r="B1388" s="23"/>
      <c r="C1388" s="59" t="s">
        <v>33</v>
      </c>
      <c r="D1388" s="73" t="s">
        <v>325</v>
      </c>
      <c r="E1388" s="273">
        <v>1</v>
      </c>
      <c r="F1388" s="483">
        <f>+E1388*J1383</f>
        <v>0</v>
      </c>
      <c r="G1388" s="484"/>
      <c r="H1388" s="81" t="s">
        <v>0</v>
      </c>
      <c r="I1388" s="82" t="s">
        <v>2</v>
      </c>
      <c r="J1388" s="82" t="s">
        <v>3</v>
      </c>
      <c r="K1388" s="82" t="s">
        <v>4</v>
      </c>
      <c r="L1388" s="83" t="s">
        <v>5</v>
      </c>
      <c r="M1388" s="83" t="s">
        <v>44</v>
      </c>
      <c r="N1388" s="25"/>
      <c r="O1388" s="197">
        <f t="shared" si="119"/>
        <v>1491318.4931506859</v>
      </c>
    </row>
    <row r="1389" spans="1:17" ht="15.95" customHeight="1" x14ac:dyDescent="0.25">
      <c r="A1389" s="121"/>
      <c r="B1389" s="23"/>
      <c r="C1389" s="59" t="s">
        <v>34</v>
      </c>
      <c r="D1389" s="658" t="s">
        <v>48</v>
      </c>
      <c r="E1389" s="659"/>
      <c r="F1389" s="483"/>
      <c r="G1389" s="484"/>
      <c r="H1389" s="45"/>
      <c r="I1389" s="46"/>
      <c r="J1389" s="46"/>
      <c r="K1389" s="46"/>
      <c r="L1389" s="47"/>
      <c r="M1389" s="101"/>
      <c r="N1389" s="25"/>
      <c r="O1389" s="197">
        <f t="shared" si="119"/>
        <v>14405393.83561644</v>
      </c>
    </row>
    <row r="1390" spans="1:17" ht="15.95" customHeight="1" x14ac:dyDescent="0.25">
      <c r="A1390" s="121"/>
      <c r="B1390" s="23"/>
      <c r="C1390" s="79" t="s">
        <v>38</v>
      </c>
      <c r="D1390" s="75"/>
      <c r="E1390" s="76"/>
      <c r="F1390" s="483"/>
      <c r="G1390" s="484"/>
      <c r="H1390" s="48">
        <f>+$D$1399</f>
        <v>44372</v>
      </c>
      <c r="I1390" s="70"/>
      <c r="J1390" s="49"/>
      <c r="K1390" s="49"/>
      <c r="L1390" s="50">
        <f>+D1401</f>
        <v>40000000</v>
      </c>
      <c r="M1390" s="102">
        <f>-L1390</f>
        <v>-40000000</v>
      </c>
      <c r="N1390" s="25"/>
      <c r="O1390" s="197">
        <f t="shared" si="119"/>
        <v>17038263.698630139</v>
      </c>
    </row>
    <row r="1391" spans="1:17" ht="15.95" customHeight="1" x14ac:dyDescent="0.25">
      <c r="A1391" s="121"/>
      <c r="B1391" s="23"/>
      <c r="C1391" s="59"/>
      <c r="D1391" s="73"/>
      <c r="E1391" s="74"/>
      <c r="F1391" s="483"/>
      <c r="G1391" s="484"/>
      <c r="H1391" s="51">
        <v>44557</v>
      </c>
      <c r="I1391" s="71" t="s">
        <v>13</v>
      </c>
      <c r="J1391" s="52">
        <f>+L1390*('Tasas-TC'!$B$1148+ARS!$D$1404)*(ARS!$H$1391-ARS!$H$1390)/365</f>
        <v>7624027.3972602738</v>
      </c>
      <c r="K1391" s="52">
        <f t="shared" ref="K1391:K1396" si="120">+$L$1390*$D$1407</f>
        <v>5600000.0000000009</v>
      </c>
      <c r="L1391" s="53">
        <f t="shared" ref="L1391:L1397" si="121">+L1390-K1391</f>
        <v>34400000</v>
      </c>
      <c r="M1391" s="103">
        <f t="shared" ref="M1391:M1396" si="122">+J1391+K1391</f>
        <v>13224027.397260275</v>
      </c>
      <c r="N1391" s="25"/>
      <c r="O1391" s="197">
        <f t="shared" si="119"/>
        <v>28879551.369863018</v>
      </c>
      <c r="P1391" s="197"/>
      <c r="Q1391" s="197"/>
    </row>
    <row r="1392" spans="1:17" ht="15.95" customHeight="1" x14ac:dyDescent="0.25">
      <c r="A1392" s="121"/>
      <c r="B1392" s="23"/>
      <c r="C1392" s="60"/>
      <c r="D1392" s="77"/>
      <c r="E1392" s="78"/>
      <c r="F1392" s="483"/>
      <c r="G1392" s="484"/>
      <c r="H1392" s="51">
        <v>44645</v>
      </c>
      <c r="I1392" s="71" t="s">
        <v>13</v>
      </c>
      <c r="J1392" s="52">
        <f>+L1391*('Tasas-TC'!$B$1148+ARS!$D$1404)*(ARS!$H$1392-ARS!$H$1391)/365</f>
        <v>3118845.3698630137</v>
      </c>
      <c r="K1392" s="52">
        <f t="shared" si="120"/>
        <v>5600000.0000000009</v>
      </c>
      <c r="L1392" s="53">
        <f t="shared" si="121"/>
        <v>28800000</v>
      </c>
      <c r="M1392" s="103">
        <f t="shared" si="122"/>
        <v>8718845.3698630147</v>
      </c>
      <c r="N1392" s="25"/>
      <c r="P1392" s="197"/>
      <c r="Q1392" s="197"/>
    </row>
    <row r="1393" spans="1:15" ht="15.95" customHeight="1" x14ac:dyDescent="0.25">
      <c r="A1393" s="121"/>
      <c r="B1393" s="23"/>
      <c r="C1393" s="60"/>
      <c r="D1393" s="55" t="str">
        <f>+B1381</f>
        <v>Inalpa I</v>
      </c>
      <c r="E1393" s="64"/>
      <c r="F1393" s="483"/>
      <c r="G1393" s="484">
        <f>+J1383</f>
        <v>0</v>
      </c>
      <c r="H1393" s="51">
        <v>44739</v>
      </c>
      <c r="I1393" s="71" t="s">
        <v>13</v>
      </c>
      <c r="J1393" s="52">
        <f>+L1392*('Tasas-TC'!$B$1148+ARS!$D$1404)*(ARS!$H$1393-ARS!$H$1392)/365</f>
        <v>2789157.6986301369</v>
      </c>
      <c r="K1393" s="52">
        <f t="shared" si="120"/>
        <v>5600000.0000000009</v>
      </c>
      <c r="L1393" s="53">
        <f t="shared" si="121"/>
        <v>23200000</v>
      </c>
      <c r="M1393" s="103">
        <f t="shared" si="122"/>
        <v>8389157.6986301374</v>
      </c>
      <c r="N1393" s="25"/>
      <c r="O1393" s="195"/>
    </row>
    <row r="1394" spans="1:15" ht="15.95" customHeight="1" x14ac:dyDescent="0.25">
      <c r="A1394" s="121"/>
      <c r="B1394" s="32"/>
      <c r="D1394" s="644"/>
      <c r="E1394" s="660"/>
      <c r="F1394" s="483"/>
      <c r="G1394" s="484"/>
      <c r="H1394" s="51">
        <v>44830</v>
      </c>
      <c r="I1394" s="71" t="s">
        <v>13</v>
      </c>
      <c r="J1394" s="52">
        <f>+L1393*('Tasas-TC'!$B$1148+ARS!$D$1404)*(ARS!H1394-ARS!H1393)/365</f>
        <v>2175114.4109589043</v>
      </c>
      <c r="K1394" s="52">
        <f t="shared" si="120"/>
        <v>5600000.0000000009</v>
      </c>
      <c r="L1394" s="53">
        <f t="shared" si="121"/>
        <v>17600000</v>
      </c>
      <c r="M1394" s="103">
        <f t="shared" si="122"/>
        <v>7775114.4109589048</v>
      </c>
      <c r="N1394" s="25"/>
      <c r="O1394" s="195"/>
    </row>
    <row r="1395" spans="1:15" ht="15.95" customHeight="1" x14ac:dyDescent="0.25">
      <c r="A1395" s="121"/>
      <c r="B1395" s="23"/>
      <c r="C1395" s="638" t="s">
        <v>36</v>
      </c>
      <c r="D1395" s="640"/>
      <c r="E1395" s="36"/>
      <c r="F1395" s="483"/>
      <c r="G1395" s="484"/>
      <c r="H1395" s="51">
        <v>44921</v>
      </c>
      <c r="I1395" s="71" t="s">
        <v>13</v>
      </c>
      <c r="J1395" s="52">
        <f>+L1394*('Tasas-TC'!$B$1148+ARS!$D$1404)*(ARS!H1395-ARS!H1394)/365</f>
        <v>1650086.7945205478</v>
      </c>
      <c r="K1395" s="52">
        <f t="shared" si="120"/>
        <v>5600000.0000000009</v>
      </c>
      <c r="L1395" s="53">
        <f t="shared" si="121"/>
        <v>12000000</v>
      </c>
      <c r="M1395" s="103">
        <f t="shared" si="122"/>
        <v>7250086.7945205485</v>
      </c>
      <c r="N1395" s="25"/>
      <c r="O1395" s="195"/>
    </row>
    <row r="1396" spans="1:15" ht="15.95" customHeight="1" x14ac:dyDescent="0.25">
      <c r="A1396" s="121"/>
      <c r="B1396" s="23"/>
      <c r="C1396" s="59"/>
      <c r="D1396" s="62"/>
      <c r="E1396" s="36"/>
      <c r="F1396" s="483"/>
      <c r="G1396" s="484"/>
      <c r="H1396" s="51">
        <v>45012</v>
      </c>
      <c r="I1396" s="71" t="s">
        <v>13</v>
      </c>
      <c r="J1396" s="52">
        <f>+L1395*('Tasas-TC'!$B$1148+ARS!$D$1404)*(ARS!H1396-ARS!H1395)/365</f>
        <v>1125059.1780821919</v>
      </c>
      <c r="K1396" s="52">
        <f t="shared" si="120"/>
        <v>5600000.0000000009</v>
      </c>
      <c r="L1396" s="53">
        <f t="shared" si="121"/>
        <v>6399999.9999999991</v>
      </c>
      <c r="M1396" s="103">
        <f t="shared" si="122"/>
        <v>6725059.1780821923</v>
      </c>
      <c r="N1396" s="25"/>
      <c r="O1396" s="195"/>
    </row>
    <row r="1397" spans="1:15" ht="15.95" customHeight="1" x14ac:dyDescent="0.25">
      <c r="A1397" s="121"/>
      <c r="B1397" s="23"/>
      <c r="C1397" s="59" t="s">
        <v>9</v>
      </c>
      <c r="D1397" s="98" t="s">
        <v>18</v>
      </c>
      <c r="E1397" s="36"/>
      <c r="F1397" s="483"/>
      <c r="G1397" s="484"/>
      <c r="H1397" s="54">
        <v>45103</v>
      </c>
      <c r="I1397" s="104" t="s">
        <v>13</v>
      </c>
      <c r="J1397" s="105">
        <f>+L1396*('Tasas-TC'!$B$1148+ARS!$D$1404)*(ARS!H1397-ARS!H1396)/365</f>
        <v>600031.56164383551</v>
      </c>
      <c r="K1397" s="105">
        <f>+$L$1390*$D$1408</f>
        <v>6400000</v>
      </c>
      <c r="L1397" s="106">
        <f t="shared" si="121"/>
        <v>0</v>
      </c>
      <c r="M1397" s="107">
        <f>+J1397+K1397</f>
        <v>7000031.5616438352</v>
      </c>
      <c r="N1397" s="25"/>
      <c r="O1397" s="195"/>
    </row>
    <row r="1398" spans="1:15" ht="15.95" customHeight="1" x14ac:dyDescent="0.25">
      <c r="A1398" s="121"/>
      <c r="B1398" s="23"/>
      <c r="C1398" s="59" t="s">
        <v>10</v>
      </c>
      <c r="D1398" s="65">
        <v>44370</v>
      </c>
      <c r="E1398" s="36"/>
      <c r="F1398" s="483"/>
      <c r="G1398" s="484"/>
      <c r="H1398" s="35"/>
      <c r="I1398" s="272"/>
      <c r="J1398" s="109"/>
      <c r="K1398" s="109"/>
      <c r="L1398" s="109"/>
      <c r="M1398" s="109"/>
      <c r="N1398" s="25"/>
      <c r="O1398" s="195"/>
    </row>
    <row r="1399" spans="1:15" ht="15.95" customHeight="1" x14ac:dyDescent="0.25">
      <c r="A1399" s="121"/>
      <c r="B1399" s="23"/>
      <c r="C1399" s="59" t="s">
        <v>11</v>
      </c>
      <c r="D1399" s="65">
        <v>44372</v>
      </c>
      <c r="E1399" s="36"/>
      <c r="F1399" s="483"/>
      <c r="G1399" s="484"/>
      <c r="H1399" s="656" t="s">
        <v>43</v>
      </c>
      <c r="I1399" s="656"/>
      <c r="J1399" s="92">
        <f>+J1383+(L1397*(P343+D1404)*($M$4-H1397)/365)</f>
        <v>0</v>
      </c>
      <c r="K1399" s="109"/>
      <c r="L1399" s="109"/>
      <c r="M1399" s="109"/>
      <c r="N1399" s="25"/>
      <c r="O1399" s="195"/>
    </row>
    <row r="1400" spans="1:15" ht="15.95" customHeight="1" x14ac:dyDescent="0.25">
      <c r="A1400" s="121"/>
      <c r="B1400" s="23"/>
      <c r="C1400" s="59" t="s">
        <v>12</v>
      </c>
      <c r="D1400" s="65">
        <v>45102</v>
      </c>
      <c r="E1400" s="36"/>
      <c r="F1400" s="483"/>
      <c r="G1400" s="484"/>
      <c r="H1400" s="35"/>
      <c r="I1400" s="272"/>
      <c r="J1400" s="109"/>
      <c r="K1400" s="109"/>
      <c r="L1400" s="109"/>
      <c r="M1400" s="109"/>
      <c r="N1400" s="25"/>
      <c r="O1400" s="195"/>
    </row>
    <row r="1401" spans="1:15" ht="15.95" customHeight="1" x14ac:dyDescent="0.25">
      <c r="A1401" s="121"/>
      <c r="B1401" s="23"/>
      <c r="C1401" s="59" t="s">
        <v>27</v>
      </c>
      <c r="D1401" s="66">
        <v>40000000</v>
      </c>
      <c r="E1401" s="41"/>
      <c r="F1401" s="480"/>
      <c r="G1401" s="484"/>
      <c r="H1401" s="638" t="s">
        <v>44</v>
      </c>
      <c r="I1401" s="639"/>
      <c r="J1401" s="639"/>
      <c r="K1401" s="639"/>
      <c r="L1401" s="639"/>
      <c r="M1401" s="640"/>
      <c r="N1401" s="25"/>
      <c r="O1401" s="195"/>
    </row>
    <row r="1402" spans="1:15" ht="15.95" customHeight="1" x14ac:dyDescent="0.25">
      <c r="A1402" s="121"/>
      <c r="B1402" s="23"/>
      <c r="C1402" s="59" t="s">
        <v>26</v>
      </c>
      <c r="D1402" s="66">
        <v>3</v>
      </c>
      <c r="E1402" s="36"/>
      <c r="F1402" s="480"/>
      <c r="G1402" s="484"/>
      <c r="H1402" s="23"/>
      <c r="I1402" s="24"/>
      <c r="J1402" s="24"/>
      <c r="K1402" s="24"/>
      <c r="L1402" s="24"/>
      <c r="M1402" s="25"/>
      <c r="N1402" s="25"/>
      <c r="O1402" s="195"/>
    </row>
    <row r="1403" spans="1:15" ht="15.95" customHeight="1" x14ac:dyDescent="0.25">
      <c r="A1403" s="121"/>
      <c r="B1403" s="23"/>
      <c r="C1403" s="59" t="s">
        <v>19</v>
      </c>
      <c r="D1403" s="67" t="s">
        <v>20</v>
      </c>
      <c r="E1403" s="43"/>
      <c r="F1403" s="480"/>
      <c r="G1403" s="484"/>
      <c r="H1403" s="23"/>
      <c r="I1403" s="24"/>
      <c r="J1403" s="24"/>
      <c r="K1403" s="24"/>
      <c r="L1403" s="24"/>
      <c r="M1403" s="25"/>
      <c r="N1403" s="25"/>
      <c r="O1403" s="195"/>
    </row>
    <row r="1404" spans="1:15" ht="15.95" customHeight="1" x14ac:dyDescent="0.25">
      <c r="A1404" s="121"/>
      <c r="B1404" s="23"/>
      <c r="C1404" s="59" t="s">
        <v>14</v>
      </c>
      <c r="D1404" s="68">
        <v>3.4799999999999998E-2</v>
      </c>
      <c r="E1404" s="43"/>
      <c r="F1404" s="480"/>
      <c r="G1404" s="484"/>
      <c r="H1404" s="96"/>
      <c r="I1404" s="35"/>
      <c r="J1404" s="24"/>
      <c r="K1404" s="24"/>
      <c r="L1404" s="24"/>
      <c r="M1404" s="25"/>
      <c r="N1404" s="25"/>
      <c r="O1404" s="195"/>
    </row>
    <row r="1405" spans="1:15" ht="15.95" customHeight="1" x14ac:dyDescent="0.25">
      <c r="A1405" s="121"/>
      <c r="B1405" s="23"/>
      <c r="C1405" s="59" t="s">
        <v>31</v>
      </c>
      <c r="D1405" s="68"/>
      <c r="E1405" s="43"/>
      <c r="F1405" s="480"/>
      <c r="G1405" s="484"/>
      <c r="H1405" s="23"/>
      <c r="I1405" s="24"/>
      <c r="J1405" s="24"/>
      <c r="K1405" s="24"/>
      <c r="L1405" s="24"/>
      <c r="M1405" s="25"/>
      <c r="N1405" s="25"/>
      <c r="O1405" s="195"/>
    </row>
    <row r="1406" spans="1:15" ht="15.95" customHeight="1" x14ac:dyDescent="0.25">
      <c r="A1406" s="121"/>
      <c r="B1406" s="23"/>
      <c r="C1406" s="59" t="s">
        <v>32</v>
      </c>
      <c r="D1406" s="68"/>
      <c r="E1406" s="44"/>
      <c r="F1406" s="480"/>
      <c r="G1406" s="484"/>
      <c r="H1406" s="23"/>
      <c r="I1406" s="24"/>
      <c r="J1406" s="24"/>
      <c r="K1406" s="24"/>
      <c r="L1406" s="24"/>
      <c r="M1406" s="25"/>
      <c r="N1406" s="25"/>
      <c r="O1406" s="195"/>
    </row>
    <row r="1407" spans="1:15" ht="15.95" customHeight="1" x14ac:dyDescent="0.25">
      <c r="A1407" s="121"/>
      <c r="B1407" s="23"/>
      <c r="C1407" s="59" t="s">
        <v>21</v>
      </c>
      <c r="D1407" s="68">
        <v>0.14000000000000001</v>
      </c>
      <c r="E1407" s="24"/>
      <c r="F1407" s="480"/>
      <c r="G1407" s="484"/>
      <c r="H1407" s="23"/>
      <c r="I1407" s="24"/>
      <c r="J1407" s="24"/>
      <c r="K1407" s="24"/>
      <c r="L1407" s="24"/>
      <c r="M1407" s="25"/>
      <c r="N1407" s="25"/>
      <c r="O1407" s="195"/>
    </row>
    <row r="1408" spans="1:15" ht="15.95" customHeight="1" x14ac:dyDescent="0.25">
      <c r="A1408" s="121"/>
      <c r="B1408" s="23"/>
      <c r="C1408" s="59" t="s">
        <v>55</v>
      </c>
      <c r="D1408" s="68">
        <v>0.16</v>
      </c>
      <c r="E1408" s="24"/>
      <c r="F1408" s="480"/>
      <c r="G1408" s="484"/>
      <c r="H1408" s="23"/>
      <c r="I1408" s="24"/>
      <c r="J1408" s="24"/>
      <c r="K1408" s="24"/>
      <c r="L1408" s="24"/>
      <c r="M1408" s="25"/>
      <c r="N1408" s="25"/>
      <c r="O1408" s="195"/>
    </row>
    <row r="1409" spans="1:17" ht="15.95" customHeight="1" x14ac:dyDescent="0.25">
      <c r="A1409" s="121"/>
      <c r="B1409" s="23"/>
      <c r="C1409" s="60"/>
      <c r="D1409" s="110"/>
      <c r="E1409" s="24"/>
      <c r="F1409" s="480"/>
      <c r="G1409" s="485"/>
      <c r="H1409" s="23"/>
      <c r="I1409" s="24"/>
      <c r="J1409" s="24"/>
      <c r="K1409" s="24"/>
      <c r="L1409" s="24"/>
      <c r="M1409" s="25"/>
      <c r="N1409" s="25"/>
      <c r="O1409" s="195"/>
    </row>
    <row r="1410" spans="1:17" ht="15.95" customHeight="1" x14ac:dyDescent="0.25">
      <c r="A1410" s="121"/>
      <c r="B1410" s="23"/>
      <c r="C1410" s="24"/>
      <c r="D1410" s="24"/>
      <c r="E1410" s="24"/>
      <c r="F1410" s="480"/>
      <c r="G1410" s="485"/>
      <c r="H1410" s="23"/>
      <c r="I1410" s="24"/>
      <c r="J1410" s="24"/>
      <c r="K1410" s="24"/>
      <c r="L1410" s="24"/>
      <c r="M1410" s="25"/>
      <c r="N1410" s="25"/>
      <c r="O1410" s="195"/>
    </row>
    <row r="1411" spans="1:17" ht="15.95" customHeight="1" x14ac:dyDescent="0.25">
      <c r="A1411" s="121"/>
      <c r="B1411" s="23"/>
      <c r="C1411" s="24"/>
      <c r="D1411" s="24"/>
      <c r="E1411" s="24"/>
      <c r="F1411" s="480"/>
      <c r="G1411" s="485"/>
      <c r="H1411" s="23"/>
      <c r="I1411" s="24"/>
      <c r="J1411" s="24"/>
      <c r="K1411" s="24"/>
      <c r="L1411" s="24"/>
      <c r="M1411" s="25"/>
      <c r="N1411" s="25"/>
      <c r="O1411" s="195"/>
    </row>
    <row r="1412" spans="1:17" ht="15.95" customHeight="1" x14ac:dyDescent="0.25">
      <c r="A1412" s="121"/>
      <c r="B1412" s="23"/>
      <c r="C1412" s="24"/>
      <c r="D1412" s="24"/>
      <c r="E1412" s="24"/>
      <c r="F1412" s="480"/>
      <c r="G1412" s="485"/>
      <c r="H1412" s="23"/>
      <c r="I1412" s="24"/>
      <c r="J1412" s="24"/>
      <c r="K1412" s="24"/>
      <c r="L1412" s="24"/>
      <c r="M1412" s="25"/>
      <c r="N1412" s="25"/>
      <c r="O1412" s="195"/>
    </row>
    <row r="1413" spans="1:17" ht="15.95" customHeight="1" x14ac:dyDescent="0.25">
      <c r="A1413" s="121"/>
      <c r="B1413" s="23"/>
      <c r="C1413" s="24"/>
      <c r="D1413" s="24"/>
      <c r="E1413" s="24"/>
      <c r="F1413" s="480"/>
      <c r="G1413" s="485"/>
      <c r="H1413" s="23"/>
      <c r="I1413" s="24"/>
      <c r="J1413" s="24"/>
      <c r="K1413" s="24"/>
      <c r="L1413" s="24"/>
      <c r="M1413" s="25"/>
      <c r="N1413" s="25"/>
      <c r="O1413" s="195"/>
    </row>
    <row r="1414" spans="1:17" ht="15.95" customHeight="1" x14ac:dyDescent="0.25">
      <c r="A1414" s="121"/>
      <c r="B1414" s="23"/>
      <c r="C1414" s="24"/>
      <c r="D1414" s="24"/>
      <c r="E1414" s="24"/>
      <c r="F1414" s="480"/>
      <c r="G1414" s="485"/>
      <c r="H1414" s="26"/>
      <c r="I1414" s="27"/>
      <c r="J1414" s="27"/>
      <c r="K1414" s="27"/>
      <c r="L1414" s="27"/>
      <c r="M1414" s="28"/>
      <c r="N1414" s="25"/>
      <c r="O1414" s="195"/>
    </row>
    <row r="1415" spans="1:17" ht="15.95" customHeight="1" x14ac:dyDescent="0.25">
      <c r="A1415" s="121"/>
      <c r="B1415" s="26"/>
      <c r="C1415" s="27"/>
      <c r="D1415" s="27"/>
      <c r="E1415" s="27"/>
      <c r="F1415" s="481"/>
      <c r="G1415" s="486"/>
      <c r="H1415" s="27"/>
      <c r="I1415" s="27"/>
      <c r="J1415" s="27"/>
      <c r="K1415" s="27"/>
      <c r="L1415" s="27"/>
      <c r="M1415" s="27"/>
      <c r="N1415" s="28"/>
      <c r="O1415" s="195"/>
    </row>
    <row r="1416" spans="1:17" ht="15.95" customHeight="1" x14ac:dyDescent="0.25">
      <c r="A1416" s="121"/>
      <c r="B1416" s="635" t="s">
        <v>198</v>
      </c>
      <c r="C1416" s="636"/>
      <c r="D1416" s="636"/>
      <c r="E1416" s="636"/>
      <c r="F1416" s="636"/>
      <c r="G1416" s="636"/>
      <c r="H1416" s="636"/>
      <c r="I1416" s="636"/>
      <c r="J1416" s="636"/>
      <c r="K1416" s="636"/>
      <c r="L1416" s="636"/>
      <c r="M1416" s="636"/>
      <c r="N1416" s="637"/>
      <c r="O1416" s="194" t="str">
        <f>+D1528</f>
        <v>ON Pyme CNV Garantizada</v>
      </c>
    </row>
    <row r="1417" spans="1:17" ht="15.95" customHeight="1" x14ac:dyDescent="0.25">
      <c r="A1417" s="121"/>
      <c r="B1417" s="23"/>
      <c r="C1417" s="24"/>
      <c r="D1417" s="24"/>
      <c r="E1417" s="24"/>
      <c r="F1417" s="483"/>
      <c r="G1417" s="484"/>
      <c r="H1417" s="31"/>
      <c r="I1417" s="31"/>
      <c r="J1417" s="24"/>
      <c r="K1417" s="24"/>
      <c r="L1417" s="24"/>
      <c r="M1417" s="24"/>
      <c r="N1417" s="25"/>
      <c r="O1417" s="195"/>
    </row>
    <row r="1418" spans="1:17" ht="15.95" customHeight="1" x14ac:dyDescent="0.25">
      <c r="A1418" s="121"/>
      <c r="B1418" s="23"/>
      <c r="C1418" s="638" t="s">
        <v>37</v>
      </c>
      <c r="D1418" s="639"/>
      <c r="E1418" s="640"/>
      <c r="F1418" s="483"/>
      <c r="G1418" s="484"/>
      <c r="H1418" s="641" t="s">
        <v>28</v>
      </c>
      <c r="I1418" s="642"/>
      <c r="J1418" s="39">
        <f>+$D$1436-SUMIF($H$1424:$H$1430,"&lt;"&amp;$M$4,$K$1424:$K$1430)</f>
        <v>0</v>
      </c>
      <c r="K1418" s="24"/>
      <c r="L1418" s="24"/>
      <c r="M1418" s="24"/>
      <c r="N1418" s="25"/>
      <c r="O1418" s="194" t="str">
        <f>+IF(J1526="vencida",IF(D1528='Reporte - Oscuro'!$C$40,'Reporte - Oscuro'!$C$40&amp;" vencida",IF(D1528='Reporte - Oscuro'!$C$41,'Reporte - Oscuro'!$C$41&amp;" vencida",IF(D1528='Reporte - Oscuro'!$C$42,'Reporte - Oscuro'!$C$42&amp;" vencida",'Reporte - Oscuro'!$C$43&amp;" vencida"))),D1528&amp;" vigente")</f>
        <v>ON Pyme CNV Garantizada vencida</v>
      </c>
    </row>
    <row r="1419" spans="1:17" ht="15.95" customHeight="1" x14ac:dyDescent="0.25">
      <c r="A1419" s="121"/>
      <c r="B1419" s="23"/>
      <c r="C1419" s="58"/>
      <c r="D1419" s="664"/>
      <c r="E1419" s="665"/>
      <c r="F1419" s="483"/>
      <c r="G1419" s="484"/>
      <c r="H1419" s="645" t="s">
        <v>29</v>
      </c>
      <c r="I1419" s="646"/>
      <c r="J1419" s="40">
        <f>+$D$1435</f>
        <v>43940</v>
      </c>
      <c r="K1419" s="24"/>
      <c r="L1419" s="24"/>
      <c r="M1419" s="24"/>
      <c r="N1419" s="25"/>
      <c r="O1419" s="195"/>
    </row>
    <row r="1420" spans="1:17" ht="15.95" customHeight="1" x14ac:dyDescent="0.25">
      <c r="A1420" s="121"/>
      <c r="B1420" s="23"/>
      <c r="C1420" s="59" t="s">
        <v>25</v>
      </c>
      <c r="D1420" s="658"/>
      <c r="E1420" s="659"/>
      <c r="F1420" s="483"/>
      <c r="G1420" s="484"/>
      <c r="H1420" s="649" t="s">
        <v>30</v>
      </c>
      <c r="I1420" s="650"/>
      <c r="J1420" s="42" t="str">
        <f t="array" ref="J1420">+IF($H$1429&gt;=$M$4,MIN(IF($H$1424:$H$1430&gt;$M$4,$H$1424:$H$1430,"")),"vencida")</f>
        <v>vencida</v>
      </c>
      <c r="K1420" s="24"/>
      <c r="L1420" s="24"/>
      <c r="M1420" s="24"/>
      <c r="N1420" s="25"/>
      <c r="O1420" s="195"/>
    </row>
    <row r="1421" spans="1:17" ht="20.100000000000001" customHeight="1" x14ac:dyDescent="0.25">
      <c r="A1421" s="121"/>
      <c r="B1421" s="23"/>
      <c r="C1421" s="59" t="s">
        <v>6</v>
      </c>
      <c r="D1421" s="658" t="s">
        <v>246</v>
      </c>
      <c r="E1421" s="659"/>
      <c r="F1421" s="483"/>
      <c r="G1421" s="484"/>
      <c r="H1421" s="24"/>
      <c r="I1421" s="24"/>
      <c r="J1421" s="24"/>
      <c r="K1421" s="24"/>
      <c r="L1421" s="24"/>
      <c r="M1421" s="24"/>
      <c r="N1421" s="25"/>
      <c r="O1421" s="195"/>
    </row>
    <row r="1422" spans="1:17" ht="15.95" customHeight="1" x14ac:dyDescent="0.25">
      <c r="A1422" s="121"/>
      <c r="B1422" s="23"/>
      <c r="C1422" s="59" t="s">
        <v>8</v>
      </c>
      <c r="D1422" s="658" t="s">
        <v>17</v>
      </c>
      <c r="E1422" s="659"/>
      <c r="F1422" s="483"/>
      <c r="G1422" s="484"/>
      <c r="H1422" s="651" t="s">
        <v>41</v>
      </c>
      <c r="I1422" s="652"/>
      <c r="J1422" s="652"/>
      <c r="K1422" s="652"/>
      <c r="L1422" s="653"/>
      <c r="M1422" s="24"/>
      <c r="N1422" s="25"/>
      <c r="O1422" s="195"/>
    </row>
    <row r="1423" spans="1:17" ht="15.95" customHeight="1" x14ac:dyDescent="0.25">
      <c r="A1423" s="121"/>
      <c r="B1423" s="23"/>
      <c r="C1423" s="59" t="s">
        <v>33</v>
      </c>
      <c r="D1423" s="73" t="s">
        <v>309</v>
      </c>
      <c r="E1423" s="273">
        <v>1</v>
      </c>
      <c r="F1423" s="483">
        <f>+E1423*J1418</f>
        <v>0</v>
      </c>
      <c r="G1423" s="484"/>
      <c r="H1423" s="81" t="s">
        <v>0</v>
      </c>
      <c r="I1423" s="82" t="s">
        <v>2</v>
      </c>
      <c r="J1423" s="82" t="s">
        <v>3</v>
      </c>
      <c r="K1423" s="82" t="s">
        <v>4</v>
      </c>
      <c r="L1423" s="83" t="s">
        <v>5</v>
      </c>
      <c r="M1423" s="82" t="s">
        <v>44</v>
      </c>
      <c r="N1423" s="25"/>
      <c r="O1423" s="197">
        <f>+M1531</f>
        <v>-10000000</v>
      </c>
      <c r="P1423" s="197">
        <f>-M1531</f>
        <v>10000000</v>
      </c>
      <c r="Q1423" s="197"/>
    </row>
    <row r="1424" spans="1:17" ht="15.95" customHeight="1" x14ac:dyDescent="0.25">
      <c r="A1424" s="121"/>
      <c r="B1424" s="23"/>
      <c r="C1424" s="59" t="s">
        <v>34</v>
      </c>
      <c r="D1424" s="658" t="s">
        <v>48</v>
      </c>
      <c r="E1424" s="659"/>
      <c r="F1424" s="483"/>
      <c r="G1424" s="484"/>
      <c r="H1424" s="45"/>
      <c r="I1424" s="46"/>
      <c r="J1424" s="46"/>
      <c r="K1424" s="46"/>
      <c r="L1424" s="47"/>
      <c r="M1424" s="23"/>
      <c r="N1424" s="25"/>
      <c r="O1424" s="197">
        <f t="shared" ref="O1424:O1435" si="123">+M1532+O1423</f>
        <v>-8392395.833333334</v>
      </c>
      <c r="P1424" s="197">
        <f t="shared" ref="P1424:P1435" si="124">+(M1532/(1+$J$1547)^((H1532-$H$1531)/365))/$P$1423</f>
        <v>0.16076041666666666</v>
      </c>
      <c r="Q1424" s="197">
        <f t="shared" ref="Q1424:Q1435" si="125">+P1424*((H1532-$H$1531)/365)</f>
        <v>4.052043378995434E-2</v>
      </c>
    </row>
    <row r="1425" spans="1:17" ht="15.95" customHeight="1" x14ac:dyDescent="0.25">
      <c r="A1425" s="121"/>
      <c r="B1425" s="23"/>
      <c r="C1425" s="79" t="s">
        <v>38</v>
      </c>
      <c r="D1425" s="75"/>
      <c r="E1425" s="76"/>
      <c r="F1425" s="483"/>
      <c r="G1425" s="484"/>
      <c r="H1425" s="48">
        <f>+$D$1434</f>
        <v>43209</v>
      </c>
      <c r="I1425" s="70"/>
      <c r="J1425" s="49"/>
      <c r="K1425" s="49"/>
      <c r="L1425" s="50">
        <f>+D1436</f>
        <v>1000000</v>
      </c>
      <c r="M1425" s="93">
        <f>-L1425</f>
        <v>-1000000</v>
      </c>
      <c r="N1425" s="25"/>
      <c r="O1425" s="197">
        <f t="shared" si="123"/>
        <v>-6868645.833333334</v>
      </c>
      <c r="P1425" s="197">
        <f t="shared" si="124"/>
        <v>0.15237499999999998</v>
      </c>
      <c r="Q1425" s="197">
        <f t="shared" si="125"/>
        <v>7.6813698630136984E-2</v>
      </c>
    </row>
    <row r="1426" spans="1:17" ht="15.95" customHeight="1" x14ac:dyDescent="0.25">
      <c r="A1426" s="121"/>
      <c r="B1426" s="23"/>
      <c r="C1426" s="59"/>
      <c r="D1426" s="73"/>
      <c r="E1426" s="74"/>
      <c r="F1426" s="483"/>
      <c r="G1426" s="484"/>
      <c r="H1426" s="51">
        <f>IF(DAY(H1425)=DAY($H$1425),IF(WEEKDAY(EDATE(H1425,$D$1437),3)&lt;5,EDATE(H1425,$D$1437),WORKDAY(EDATE(H1425,$D$1437),1)),IF(WEEKDAY(EDATE($H$1425,$D$1437*COUNT($H$1425:H1425)),3)&lt;5,EDATE($H$1425,$D$1437*COUNT($H$1425:H1425)),WORKDAY(EDATE($H$1425,$D$1437*COUNT($H$1425:H1425)),1)))</f>
        <v>43392</v>
      </c>
      <c r="I1426" s="71" t="s">
        <v>13</v>
      </c>
      <c r="J1426" s="52">
        <f>(IF(AND($D$1440&lt;&gt;"",$D$1440&gt;(AVERAGE(VLOOKUP(WORKDAY.INTL(H1426,-7,1,),'Tasas-TC'!A:B,2,FALSE),VLOOKUP(WORKDAY.INTL(H1425,-7,1,),'Tasas-TC'!A:B,2,FALSE))+$D$1439)),$D$1440,IF(AND($D$1441&lt;&gt;"",$D$1441&lt;(AVERAGE(VLOOKUP(WORKDAY.INTL(H1426,-7,1,),'Tasas-TC'!A:B,2,FALSE),VLOOKUP(WORKDAY.INTL(H1425,-7,1,),'Tasas-TC'!A:B,2,FALSE))+$D$1439)),$D$1441,(AVERAGE(VLOOKUP(WORKDAY.INTL(H1426,-7,1,),'Tasas-TC'!A:B,2,FALSE),VLOOKUP(WORKDAY.INTL(H1425,-7,1,),'Tasas-TC'!A:B,2,FALSE))+$D$1439)))/360)*(H1426-H1425)*L1425</f>
        <v>215247.39583333331</v>
      </c>
      <c r="K1426" s="52">
        <f>+IF(OR(I1426="A + C",I1426="A"),$D$1436*$D$1442,0)</f>
        <v>250000</v>
      </c>
      <c r="L1426" s="53">
        <f>+L1425-K1426</f>
        <v>750000</v>
      </c>
      <c r="M1426" s="94">
        <f>+J1426+K1426</f>
        <v>465247.39583333331</v>
      </c>
      <c r="N1426" s="25"/>
      <c r="O1426" s="197">
        <f t="shared" si="123"/>
        <v>-4657152.777777778</v>
      </c>
      <c r="P1426" s="197">
        <f t="shared" si="124"/>
        <v>0.22114930555555556</v>
      </c>
      <c r="Q1426" s="197">
        <f t="shared" si="125"/>
        <v>0.16722522831050229</v>
      </c>
    </row>
    <row r="1427" spans="1:17" ht="15.95" customHeight="1" x14ac:dyDescent="0.25">
      <c r="A1427" s="121"/>
      <c r="B1427" s="23"/>
      <c r="C1427" s="60"/>
      <c r="D1427" s="77"/>
      <c r="E1427" s="78"/>
      <c r="F1427" s="483"/>
      <c r="G1427" s="484"/>
      <c r="H1427" s="51">
        <f>IF(DAY(H1426)=DAY($H$1425),IF(WEEKDAY(EDATE(H1426,$D$1437),3)&lt;5,EDATE(H1426,$D$1437),WORKDAY(EDATE(H1426,$D$1437),1)),IF(WEEKDAY(EDATE($H$1425,$D$1437*COUNT($H$1425:H1426)),3)&lt;5,EDATE($H$1425,$D$1437*COUNT($H$1425:H1426)),WORKDAY(EDATE($H$1425,$D$1437*COUNT($H$1425:H1426)),1)))</f>
        <v>43574</v>
      </c>
      <c r="I1427" s="71" t="s">
        <v>13</v>
      </c>
      <c r="J1427" s="52">
        <f>(IF(AND($D$1440&lt;&gt;"",$D$1440&gt;(AVERAGE(VLOOKUP(WORKDAY.INTL(H1427,-7,1,),'Tasas-TC'!A:B,2,FALSE),VLOOKUP(WORKDAY.INTL(H1426,-7,1,),'Tasas-TC'!A:B,2,FALSE))+$D$1439)),$D$1440,IF(AND($D$1441&lt;&gt;"",$D$1441&lt;(AVERAGE(VLOOKUP(WORKDAY.INTL(H1427,-7,1,),'Tasas-TC'!A:B,2,FALSE),VLOOKUP(WORKDAY.INTL(H1426,-7,1,),'Tasas-TC'!A:B,2,FALSE))+$D$1439)),$D$1441,(AVERAGE(VLOOKUP(WORKDAY.INTL(H1427,-7,1,),'Tasas-TC'!A:B,2,FALSE),VLOOKUP(WORKDAY.INTL(H1426,-7,1,),'Tasas-TC'!A:B,2,FALSE))+$D$1439)))/360)*(H1427-H1426)*L1426</f>
        <v>207830.72916666669</v>
      </c>
      <c r="K1427" s="52">
        <f>+IF(OR(I1427="A + C",I1427="A"),$D$1436*$D$1442,0)</f>
        <v>250000</v>
      </c>
      <c r="L1427" s="53">
        <f>+L1426-K1427</f>
        <v>500000</v>
      </c>
      <c r="M1427" s="94">
        <f>+J1427+K1427</f>
        <v>457830.72916666669</v>
      </c>
      <c r="N1427" s="25"/>
      <c r="O1427" s="197">
        <f t="shared" si="123"/>
        <v>-2807074.652777778</v>
      </c>
      <c r="P1427" s="197">
        <f t="shared" si="124"/>
        <v>0.18500781250000001</v>
      </c>
      <c r="Q1427" s="197">
        <f t="shared" si="125"/>
        <v>0.18551468321917811</v>
      </c>
    </row>
    <row r="1428" spans="1:17" ht="15.95" customHeight="1" x14ac:dyDescent="0.25">
      <c r="A1428" s="121"/>
      <c r="B1428" s="23"/>
      <c r="C1428" s="60"/>
      <c r="D1428" s="55" t="str">
        <f>+B1416</f>
        <v>Induar I</v>
      </c>
      <c r="E1428" s="64"/>
      <c r="F1428" s="483"/>
      <c r="G1428" s="484">
        <f>+J1418</f>
        <v>0</v>
      </c>
      <c r="H1428" s="51">
        <f>IF(DAY(H1427)=DAY($H$1425),IF(WEEKDAY(EDATE(H1427,$D$1437),3)&lt;5,EDATE(H1427,$D$1437),WORKDAY(EDATE(H1427,$D$1437),1)),IF(WEEKDAY(EDATE($H$1425,$D$1437*COUNT($H$1425:H1427)),3)&lt;5,EDATE($H$1425,$D$1437*COUNT($H$1425:H1427)),WORKDAY(EDATE($H$1425,$D$1437*COUNT($H$1425:H1427)),1)))</f>
        <v>43759</v>
      </c>
      <c r="I1428" s="71" t="s">
        <v>13</v>
      </c>
      <c r="J1428" s="52">
        <f>(IF(AND($D$1440&lt;&gt;"",$D$1440&gt;(AVERAGE(VLOOKUP(WORKDAY.INTL(H1428,-7,1,),'Tasas-TC'!A:B,2,FALSE),VLOOKUP(WORKDAY.INTL(H1427,-7,1,),'Tasas-TC'!A:B,2,FALSE))+$D$1439)),$D$1440,IF(AND($D$1441&lt;&gt;"",$D$1441&lt;(AVERAGE(VLOOKUP(WORKDAY.INTL(H1428,-7,1,),'Tasas-TC'!A:B,2,FALSE),VLOOKUP(WORKDAY.INTL(H1427,-7,1,),'Tasas-TC'!A:B,2,FALSE))+$D$1439)),$D$1441,(AVERAGE(VLOOKUP(WORKDAY.INTL(H1428,-7,1,),'Tasas-TC'!A:B,2,FALSE),VLOOKUP(WORKDAY.INTL(H1427,-7,1,),'Tasas-TC'!A:B,2,FALSE))+$D$1439)))/360)*(H1428-H1427)*L1427</f>
        <v>151597.22222222225</v>
      </c>
      <c r="K1428" s="52">
        <f>+IF(OR(I1428="A + C",I1428="A"),$D$1436*$D$1442,0)</f>
        <v>250000</v>
      </c>
      <c r="L1428" s="53">
        <f>+L1427-K1428</f>
        <v>250000</v>
      </c>
      <c r="M1428" s="94">
        <f>+J1428+K1428</f>
        <v>401597.22222222225</v>
      </c>
      <c r="N1428" s="25"/>
      <c r="O1428" s="197">
        <f t="shared" si="123"/>
        <v>-1109407.9861111115</v>
      </c>
      <c r="P1428" s="197">
        <f t="shared" si="124"/>
        <v>0.16976666666666665</v>
      </c>
      <c r="Q1428" s="197">
        <f t="shared" si="125"/>
        <v>0.2130222831050228</v>
      </c>
    </row>
    <row r="1429" spans="1:17" ht="15.95" customHeight="1" x14ac:dyDescent="0.25">
      <c r="A1429" s="121"/>
      <c r="B1429" s="32"/>
      <c r="D1429" s="644"/>
      <c r="E1429" s="660"/>
      <c r="F1429" s="483"/>
      <c r="G1429" s="484"/>
      <c r="H1429" s="51">
        <f>IF(DAY(H1428)=DAY($H$1425),IF(WEEKDAY(EDATE(H1428,$D$1437),3)&lt;5,EDATE(H1428,$D$1437),WORKDAY(EDATE(H1428,$D$1437),1)),IF(WEEKDAY(EDATE($H$1425,$D$1437*COUNT($H$1425:H1428)),3)&lt;5,EDATE($H$1425,$D$1437*COUNT($H$1425:H1428)),WORKDAY(EDATE($H$1425,$D$1437*COUNT($H$1425:H1428)),1)))</f>
        <v>43941</v>
      </c>
      <c r="I1429" s="71" t="s">
        <v>13</v>
      </c>
      <c r="J1429" s="52">
        <f>(IF(AND($D$1440&lt;&gt;"",$D$1440&gt;(AVERAGE(VLOOKUP(WORKDAY.INTL(H1429,-7,1,),'Tasas-TC'!A:B,2,FALSE),VLOOKUP(WORKDAY.INTL(H1428,-7,1,),'Tasas-TC'!A:B,2,FALSE))+$D$1439)),$D$1440,IF(AND($D$1441&lt;&gt;"",$D$1441&lt;(AVERAGE(VLOOKUP(WORKDAY.INTL(H1429,-7,1,),'Tasas-TC'!A:B,2,FALSE),VLOOKUP(WORKDAY.INTL(H1428,-7,1,),'Tasas-TC'!A:B,2,FALSE))+$D$1439)),$D$1441,(AVERAGE(VLOOKUP(WORKDAY.INTL(H1429,-7,1,),'Tasas-TC'!A:B,2,FALSE),VLOOKUP(WORKDAY.INTL(H1428,-7,1,),'Tasas-TC'!A:B,2,FALSE))+$D$1439)))/360)*(H1429-H1428)*L1428</f>
        <v>58217.881944444445</v>
      </c>
      <c r="K1429" s="52">
        <f>+IF(OR(I1429="A + C",I1429="A"),$D$1436*$D$1442,0)</f>
        <v>250000</v>
      </c>
      <c r="L1429" s="53">
        <f>+L1428-K1429</f>
        <v>0</v>
      </c>
      <c r="M1429" s="94">
        <f>+J1429+K1429</f>
        <v>308217.88194444444</v>
      </c>
      <c r="N1429" s="25"/>
      <c r="O1429" s="197">
        <f t="shared" si="123"/>
        <v>514321.18055555504</v>
      </c>
      <c r="P1429" s="197">
        <f t="shared" si="124"/>
        <v>0.16237291666666664</v>
      </c>
      <c r="Q1429" s="197">
        <f t="shared" si="125"/>
        <v>0.2455612328767123</v>
      </c>
    </row>
    <row r="1430" spans="1:17" ht="15.95" customHeight="1" x14ac:dyDescent="0.25">
      <c r="A1430" s="121"/>
      <c r="B1430" s="23"/>
      <c r="C1430" s="638" t="s">
        <v>36</v>
      </c>
      <c r="D1430" s="640"/>
      <c r="E1430" s="36"/>
      <c r="F1430" s="483"/>
      <c r="G1430" s="484"/>
      <c r="H1430" s="54"/>
      <c r="I1430" s="104"/>
      <c r="J1430" s="55"/>
      <c r="K1430" s="56"/>
      <c r="L1430" s="57"/>
      <c r="M1430" s="95"/>
      <c r="N1430" s="25"/>
      <c r="O1430" s="197">
        <f t="shared" si="123"/>
        <v>2031883.680555555</v>
      </c>
      <c r="P1430" s="197">
        <f t="shared" si="124"/>
        <v>0.15175625000000001</v>
      </c>
      <c r="Q1430" s="197">
        <f t="shared" si="125"/>
        <v>0.26734046232876713</v>
      </c>
    </row>
    <row r="1431" spans="1:17" ht="15.95" customHeight="1" x14ac:dyDescent="0.25">
      <c r="A1431" s="121"/>
      <c r="B1431" s="23"/>
      <c r="C1431" s="59"/>
      <c r="D1431" s="62"/>
      <c r="E1431" s="36"/>
      <c r="F1431" s="483"/>
      <c r="G1431" s="484"/>
      <c r="H1431" s="24"/>
      <c r="I1431" s="24"/>
      <c r="J1431" s="24"/>
      <c r="K1431" s="24"/>
      <c r="L1431" s="24"/>
      <c r="M1431" s="24"/>
      <c r="N1431" s="25"/>
      <c r="O1431" s="197">
        <f t="shared" si="123"/>
        <v>3448967.0138888881</v>
      </c>
      <c r="P1431" s="197">
        <f t="shared" si="124"/>
        <v>0.14170833333333333</v>
      </c>
      <c r="Q1431" s="197">
        <f t="shared" si="125"/>
        <v>0.28380490867579911</v>
      </c>
    </row>
    <row r="1432" spans="1:17" ht="15.95" customHeight="1" x14ac:dyDescent="0.25">
      <c r="A1432" s="121"/>
      <c r="B1432" s="23"/>
      <c r="C1432" s="59" t="s">
        <v>9</v>
      </c>
      <c r="D1432" s="98" t="s">
        <v>18</v>
      </c>
      <c r="E1432" s="36"/>
      <c r="F1432" s="483"/>
      <c r="G1432" s="484"/>
      <c r="H1432" s="656" t="s">
        <v>43</v>
      </c>
      <c r="I1432" s="656"/>
      <c r="J1432" s="92">
        <v>0</v>
      </c>
      <c r="K1432" s="92"/>
      <c r="L1432" s="24"/>
      <c r="M1432" s="24"/>
      <c r="N1432" s="25"/>
      <c r="O1432" s="197">
        <f t="shared" si="123"/>
        <v>4805383.680555555</v>
      </c>
      <c r="P1432" s="197">
        <f t="shared" si="124"/>
        <v>0.13564166666666669</v>
      </c>
      <c r="Q1432" s="197">
        <f t="shared" si="125"/>
        <v>0.30658732876712336</v>
      </c>
    </row>
    <row r="1433" spans="1:17" ht="15.95" customHeight="1" x14ac:dyDescent="0.25">
      <c r="A1433" s="121"/>
      <c r="B1433" s="23"/>
      <c r="C1433" s="59" t="s">
        <v>10</v>
      </c>
      <c r="D1433" s="65">
        <v>43206</v>
      </c>
      <c r="E1433" s="36"/>
      <c r="F1433" s="483"/>
      <c r="G1433" s="484"/>
      <c r="H1433" s="657"/>
      <c r="I1433" s="657"/>
      <c r="J1433" s="392"/>
      <c r="K1433" s="24"/>
      <c r="L1433" s="33"/>
      <c r="M1433" s="33"/>
      <c r="N1433" s="25"/>
      <c r="O1433" s="197">
        <f t="shared" si="123"/>
        <v>6064164.930555555</v>
      </c>
      <c r="P1433" s="197">
        <f t="shared" si="124"/>
        <v>0.12587812500000001</v>
      </c>
      <c r="Q1433" s="197">
        <f t="shared" si="125"/>
        <v>0.31590236301369862</v>
      </c>
    </row>
    <row r="1434" spans="1:17" ht="15.95" customHeight="1" x14ac:dyDescent="0.25">
      <c r="A1434" s="121"/>
      <c r="B1434" s="23"/>
      <c r="C1434" s="59" t="s">
        <v>11</v>
      </c>
      <c r="D1434" s="65">
        <v>43209</v>
      </c>
      <c r="E1434" s="36"/>
      <c r="F1434" s="483"/>
      <c r="G1434" s="484"/>
      <c r="H1434" s="24"/>
      <c r="I1434" s="24"/>
      <c r="J1434" s="24"/>
      <c r="K1434" s="24"/>
      <c r="L1434" s="24"/>
      <c r="M1434" s="24"/>
      <c r="N1434" s="25"/>
      <c r="O1434" s="197">
        <f t="shared" si="123"/>
        <v>7236685.7638888881</v>
      </c>
      <c r="P1434" s="197">
        <f t="shared" si="124"/>
        <v>0.11725208333333333</v>
      </c>
      <c r="Q1434" s="197">
        <f t="shared" si="125"/>
        <v>0.32348725456621003</v>
      </c>
    </row>
    <row r="1435" spans="1:17" ht="15.95" customHeight="1" x14ac:dyDescent="0.25">
      <c r="A1435" s="121"/>
      <c r="B1435" s="23"/>
      <c r="C1435" s="59" t="s">
        <v>12</v>
      </c>
      <c r="D1435" s="65">
        <v>43940</v>
      </c>
      <c r="E1435" s="36"/>
      <c r="F1435" s="483"/>
      <c r="G1435" s="485"/>
      <c r="H1435" s="638" t="s">
        <v>44</v>
      </c>
      <c r="I1435" s="639"/>
      <c r="J1435" s="639"/>
      <c r="K1435" s="639"/>
      <c r="L1435" s="639"/>
      <c r="M1435" s="640"/>
      <c r="N1435" s="25"/>
      <c r="O1435" s="197">
        <f t="shared" si="123"/>
        <v>8322946.180555555</v>
      </c>
      <c r="P1435" s="197">
        <f t="shared" si="124"/>
        <v>0.10862604166666667</v>
      </c>
      <c r="Q1435" s="197">
        <f t="shared" si="125"/>
        <v>0.32617573059360733</v>
      </c>
    </row>
    <row r="1436" spans="1:17" ht="15.95" customHeight="1" x14ac:dyDescent="0.25">
      <c r="A1436" s="121"/>
      <c r="B1436" s="23"/>
      <c r="C1436" s="59" t="s">
        <v>27</v>
      </c>
      <c r="D1436" s="66">
        <v>1000000</v>
      </c>
      <c r="E1436" s="41"/>
      <c r="F1436" s="480"/>
      <c r="G1436" s="485"/>
      <c r="H1436" s="23"/>
      <c r="I1436" s="24"/>
      <c r="J1436" s="24"/>
      <c r="K1436" s="24"/>
      <c r="L1436" s="24"/>
      <c r="M1436" s="25"/>
      <c r="N1436" s="25"/>
      <c r="O1436" s="195"/>
    </row>
    <row r="1437" spans="1:17" ht="15.95" customHeight="1" x14ac:dyDescent="0.25">
      <c r="A1437" s="121"/>
      <c r="B1437" s="23"/>
      <c r="C1437" s="59" t="s">
        <v>26</v>
      </c>
      <c r="D1437" s="66">
        <v>6</v>
      </c>
      <c r="E1437" s="36"/>
      <c r="F1437" s="480"/>
      <c r="G1437" s="485"/>
      <c r="H1437" s="23"/>
      <c r="I1437" s="24"/>
      <c r="J1437" s="24"/>
      <c r="K1437" s="24"/>
      <c r="L1437" s="24"/>
      <c r="M1437" s="25"/>
      <c r="N1437" s="25"/>
      <c r="O1437" s="195"/>
    </row>
    <row r="1438" spans="1:17" ht="15.95" customHeight="1" x14ac:dyDescent="0.25">
      <c r="A1438" s="121"/>
      <c r="B1438" s="23"/>
      <c r="C1438" s="59" t="s">
        <v>19</v>
      </c>
      <c r="D1438" s="67" t="s">
        <v>20</v>
      </c>
      <c r="E1438" s="43"/>
      <c r="F1438" s="480"/>
      <c r="G1438" s="485"/>
      <c r="H1438" s="96"/>
      <c r="I1438" s="35"/>
      <c r="J1438" s="24"/>
      <c r="K1438" s="24"/>
      <c r="L1438" s="24"/>
      <c r="M1438" s="25"/>
      <c r="N1438" s="25"/>
      <c r="O1438" s="195"/>
    </row>
    <row r="1439" spans="1:17" ht="15.95" customHeight="1" x14ac:dyDescent="0.25">
      <c r="A1439" s="121"/>
      <c r="B1439" s="23"/>
      <c r="C1439" s="59" t="s">
        <v>14</v>
      </c>
      <c r="D1439" s="68">
        <v>6.5000000000000002E-2</v>
      </c>
      <c r="E1439" s="43"/>
      <c r="F1439" s="480"/>
      <c r="G1439" s="485"/>
      <c r="H1439" s="23"/>
      <c r="I1439" s="24"/>
      <c r="J1439" s="24"/>
      <c r="K1439" s="24"/>
      <c r="L1439" s="24"/>
      <c r="M1439" s="25"/>
      <c r="N1439" s="25"/>
      <c r="O1439" s="195"/>
    </row>
    <row r="1440" spans="1:17" ht="15.95" customHeight="1" x14ac:dyDescent="0.25">
      <c r="A1440" s="121"/>
      <c r="B1440" s="23"/>
      <c r="C1440" s="59" t="s">
        <v>31</v>
      </c>
      <c r="D1440" s="68"/>
      <c r="E1440" s="43"/>
      <c r="F1440" s="480"/>
      <c r="G1440" s="485"/>
      <c r="H1440" s="23"/>
      <c r="I1440" s="24"/>
      <c r="J1440" s="24"/>
      <c r="K1440" s="24"/>
      <c r="L1440" s="24"/>
      <c r="M1440" s="25"/>
      <c r="N1440" s="25"/>
      <c r="O1440" s="195"/>
    </row>
    <row r="1441" spans="1:15" ht="15.95" customHeight="1" x14ac:dyDescent="0.25">
      <c r="A1441" s="121"/>
      <c r="B1441" s="23"/>
      <c r="C1441" s="59" t="s">
        <v>32</v>
      </c>
      <c r="D1441" s="68"/>
      <c r="E1441" s="44"/>
      <c r="F1441" s="480"/>
      <c r="G1441" s="485"/>
      <c r="H1441" s="23"/>
      <c r="I1441" s="24"/>
      <c r="J1441" s="24"/>
      <c r="K1441" s="24"/>
      <c r="L1441" s="24"/>
      <c r="M1441" s="25"/>
      <c r="N1441" s="25"/>
      <c r="O1441" s="195"/>
    </row>
    <row r="1442" spans="1:15" ht="15.95" customHeight="1" x14ac:dyDescent="0.25">
      <c r="A1442" s="121"/>
      <c r="B1442" s="23"/>
      <c r="C1442" s="59" t="s">
        <v>64</v>
      </c>
      <c r="D1442" s="69">
        <v>0.25</v>
      </c>
      <c r="E1442" s="24"/>
      <c r="F1442" s="480"/>
      <c r="G1442" s="485"/>
      <c r="H1442" s="23"/>
      <c r="I1442" s="24"/>
      <c r="J1442" s="24"/>
      <c r="K1442" s="24"/>
      <c r="L1442" s="24"/>
      <c r="M1442" s="25"/>
      <c r="N1442" s="25"/>
      <c r="O1442" s="195"/>
    </row>
    <row r="1443" spans="1:15" ht="15.95" customHeight="1" x14ac:dyDescent="0.25">
      <c r="A1443" s="121"/>
      <c r="B1443" s="23"/>
      <c r="C1443" s="63"/>
      <c r="D1443" s="120"/>
      <c r="E1443" s="24"/>
      <c r="F1443" s="480"/>
      <c r="G1443" s="485"/>
      <c r="H1443" s="23"/>
      <c r="I1443" s="24"/>
      <c r="J1443" s="24"/>
      <c r="K1443" s="24"/>
      <c r="L1443" s="24"/>
      <c r="M1443" s="25"/>
      <c r="N1443" s="25"/>
      <c r="O1443" s="195"/>
    </row>
    <row r="1444" spans="1:15" ht="15.95" customHeight="1" x14ac:dyDescent="0.25">
      <c r="A1444" s="121"/>
      <c r="B1444" s="23"/>
      <c r="C1444" s="24"/>
      <c r="D1444" s="24"/>
      <c r="E1444" s="24"/>
      <c r="F1444" s="480"/>
      <c r="G1444" s="485"/>
      <c r="H1444" s="23"/>
      <c r="I1444" s="24"/>
      <c r="J1444" s="24"/>
      <c r="K1444" s="24"/>
      <c r="L1444" s="24"/>
      <c r="M1444" s="25"/>
      <c r="N1444" s="25"/>
      <c r="O1444" s="195"/>
    </row>
    <row r="1445" spans="1:15" ht="15.95" customHeight="1" x14ac:dyDescent="0.25">
      <c r="A1445" s="121"/>
      <c r="B1445" s="23"/>
      <c r="C1445" s="24"/>
      <c r="D1445" s="24"/>
      <c r="E1445" s="24"/>
      <c r="F1445" s="480"/>
      <c r="G1445" s="485"/>
      <c r="H1445" s="23"/>
      <c r="I1445" s="24"/>
      <c r="J1445" s="24"/>
      <c r="K1445" s="24"/>
      <c r="L1445" s="24"/>
      <c r="M1445" s="25"/>
      <c r="N1445" s="25"/>
      <c r="O1445" s="195"/>
    </row>
    <row r="1446" spans="1:15" ht="15.95" customHeight="1" x14ac:dyDescent="0.25">
      <c r="A1446" s="121"/>
      <c r="B1446" s="23"/>
      <c r="C1446" s="24"/>
      <c r="D1446" s="24"/>
      <c r="E1446" s="24"/>
      <c r="F1446" s="480"/>
      <c r="G1446" s="485"/>
      <c r="H1446" s="23"/>
      <c r="I1446" s="24"/>
      <c r="J1446" s="24"/>
      <c r="K1446" s="24"/>
      <c r="L1446" s="24"/>
      <c r="M1446" s="25"/>
      <c r="N1446" s="25"/>
      <c r="O1446" s="195"/>
    </row>
    <row r="1447" spans="1:15" ht="15.95" customHeight="1" x14ac:dyDescent="0.25">
      <c r="A1447" s="121"/>
      <c r="B1447" s="23"/>
      <c r="C1447" s="24"/>
      <c r="D1447" s="24"/>
      <c r="E1447" s="24"/>
      <c r="F1447" s="480"/>
      <c r="G1447" s="485"/>
      <c r="H1447" s="26"/>
      <c r="I1447" s="27"/>
      <c r="J1447" s="27"/>
      <c r="K1447" s="27"/>
      <c r="L1447" s="27"/>
      <c r="M1447" s="28"/>
      <c r="N1447" s="25"/>
      <c r="O1447" s="195"/>
    </row>
    <row r="1448" spans="1:15" ht="15.95" customHeight="1" x14ac:dyDescent="0.25">
      <c r="A1448" s="121"/>
      <c r="B1448" s="26"/>
      <c r="C1448" s="27"/>
      <c r="D1448" s="27"/>
      <c r="E1448" s="27"/>
      <c r="F1448" s="481"/>
      <c r="G1448" s="486"/>
      <c r="H1448" s="27"/>
      <c r="I1448" s="27"/>
      <c r="J1448" s="27"/>
      <c r="K1448" s="27"/>
      <c r="L1448" s="27"/>
      <c r="M1448" s="27"/>
      <c r="N1448" s="28"/>
      <c r="O1448" s="195"/>
    </row>
    <row r="1449" spans="1:15" ht="15.95" customHeight="1" x14ac:dyDescent="0.25">
      <c r="A1449" s="121"/>
      <c r="B1449" s="635" t="s">
        <v>214</v>
      </c>
      <c r="C1449" s="636"/>
      <c r="D1449" s="636"/>
      <c r="E1449" s="636"/>
      <c r="F1449" s="636"/>
      <c r="G1449" s="636"/>
      <c r="H1449" s="636"/>
      <c r="I1449" s="636"/>
      <c r="J1449" s="636"/>
      <c r="K1449" s="636"/>
      <c r="L1449" s="636"/>
      <c r="M1449" s="636"/>
      <c r="N1449" s="637"/>
      <c r="O1449" s="195"/>
    </row>
    <row r="1450" spans="1:15" ht="15.95" customHeight="1" x14ac:dyDescent="0.25">
      <c r="A1450" s="121"/>
      <c r="B1450" s="23"/>
      <c r="C1450" s="24"/>
      <c r="D1450" s="24"/>
      <c r="E1450" s="24"/>
      <c r="F1450" s="483"/>
      <c r="G1450" s="484"/>
      <c r="H1450" s="31"/>
      <c r="I1450" s="31"/>
      <c r="J1450" s="24"/>
      <c r="K1450" s="24"/>
      <c r="L1450" s="24"/>
      <c r="M1450" s="24"/>
      <c r="N1450" s="25"/>
      <c r="O1450" s="195"/>
    </row>
    <row r="1451" spans="1:15" ht="15.95" customHeight="1" x14ac:dyDescent="0.25">
      <c r="A1451" s="121"/>
      <c r="B1451" s="23"/>
      <c r="C1451" s="638" t="s">
        <v>37</v>
      </c>
      <c r="D1451" s="639"/>
      <c r="E1451" s="640"/>
      <c r="F1451" s="483"/>
      <c r="G1451" s="484"/>
      <c r="H1451" s="641" t="s">
        <v>28</v>
      </c>
      <c r="I1451" s="642"/>
      <c r="J1451" s="39">
        <f>+$D$1469-SUMIF($H$1457:$H$1467,"&lt;"&amp;$M$4,$K$1457:$K$1467)</f>
        <v>0</v>
      </c>
      <c r="K1451" s="24"/>
      <c r="L1451" s="24"/>
      <c r="M1451" s="24"/>
      <c r="N1451" s="25"/>
      <c r="O1451" s="195"/>
    </row>
    <row r="1452" spans="1:15" ht="15.95" customHeight="1" x14ac:dyDescent="0.25">
      <c r="A1452" s="121"/>
      <c r="B1452" s="23"/>
      <c r="C1452" s="58"/>
      <c r="D1452" s="664"/>
      <c r="E1452" s="665"/>
      <c r="F1452" s="483"/>
      <c r="G1452" s="484"/>
      <c r="H1452" s="645" t="s">
        <v>29</v>
      </c>
      <c r="I1452" s="646"/>
      <c r="J1452" s="40">
        <f>+$D$1468</f>
        <v>43980</v>
      </c>
      <c r="K1452" s="24"/>
      <c r="L1452" s="24"/>
      <c r="M1452" s="24"/>
      <c r="N1452" s="25"/>
      <c r="O1452" s="195"/>
    </row>
    <row r="1453" spans="1:15" ht="15.95" customHeight="1" x14ac:dyDescent="0.25">
      <c r="A1453" s="121"/>
      <c r="B1453" s="23"/>
      <c r="C1453" s="59" t="s">
        <v>25</v>
      </c>
      <c r="D1453" s="658"/>
      <c r="E1453" s="659"/>
      <c r="F1453" s="483"/>
      <c r="G1453" s="484"/>
      <c r="H1453" s="649" t="s">
        <v>30</v>
      </c>
      <c r="I1453" s="650"/>
      <c r="J1453" s="42" t="str">
        <f t="array" ref="J1453">IF(H1466&gt;=M4,MIN(IF($H$1457:$H$1467&gt;$M$4,$H$1457:$H$1467,"")),"vencida")</f>
        <v>vencida</v>
      </c>
      <c r="K1453" s="24"/>
      <c r="L1453" s="24"/>
      <c r="M1453" s="24"/>
      <c r="N1453" s="25"/>
      <c r="O1453" s="195"/>
    </row>
    <row r="1454" spans="1:15" ht="15.95" customHeight="1" x14ac:dyDescent="0.25">
      <c r="A1454" s="121"/>
      <c r="B1454" s="23"/>
      <c r="C1454" s="59" t="s">
        <v>6</v>
      </c>
      <c r="D1454" s="658" t="s">
        <v>247</v>
      </c>
      <c r="E1454" s="659"/>
      <c r="F1454" s="483"/>
      <c r="G1454" s="484"/>
      <c r="H1454" s="24"/>
      <c r="I1454" s="24"/>
      <c r="J1454" s="24"/>
      <c r="K1454" s="24"/>
      <c r="L1454" s="24"/>
      <c r="M1454" s="24"/>
      <c r="N1454" s="25"/>
      <c r="O1454" s="195"/>
    </row>
    <row r="1455" spans="1:15" ht="15.95" customHeight="1" x14ac:dyDescent="0.25">
      <c r="A1455" s="121"/>
      <c r="B1455" s="23"/>
      <c r="C1455" s="59" t="s">
        <v>8</v>
      </c>
      <c r="D1455" s="658" t="s">
        <v>61</v>
      </c>
      <c r="E1455" s="659"/>
      <c r="F1455" s="483"/>
      <c r="G1455" s="484"/>
      <c r="H1455" s="651" t="s">
        <v>41</v>
      </c>
      <c r="I1455" s="652"/>
      <c r="J1455" s="652"/>
      <c r="K1455" s="652"/>
      <c r="L1455" s="653"/>
      <c r="M1455" s="24"/>
      <c r="N1455" s="25"/>
    </row>
    <row r="1456" spans="1:15" ht="20.100000000000001" customHeight="1" x14ac:dyDescent="0.25">
      <c r="A1456" s="121"/>
      <c r="B1456" s="23"/>
      <c r="C1456" s="59" t="s">
        <v>33</v>
      </c>
      <c r="D1456" s="658" t="s">
        <v>62</v>
      </c>
      <c r="E1456" s="659"/>
      <c r="F1456" s="483"/>
      <c r="G1456" s="484"/>
      <c r="H1456" s="81" t="s">
        <v>0</v>
      </c>
      <c r="I1456" s="82" t="s">
        <v>2</v>
      </c>
      <c r="J1456" s="82" t="s">
        <v>3</v>
      </c>
      <c r="K1456" s="82" t="s">
        <v>4</v>
      </c>
      <c r="L1456" s="83" t="s">
        <v>5</v>
      </c>
      <c r="M1456" s="82" t="s">
        <v>44</v>
      </c>
      <c r="N1456" s="25"/>
    </row>
    <row r="1457" spans="1:17" ht="15.95" customHeight="1" x14ac:dyDescent="0.25">
      <c r="A1457" s="121"/>
      <c r="B1457" s="23"/>
      <c r="C1457" s="59" t="s">
        <v>34</v>
      </c>
      <c r="D1457" s="658" t="s">
        <v>35</v>
      </c>
      <c r="E1457" s="659"/>
      <c r="F1457" s="483"/>
      <c r="G1457" s="484"/>
      <c r="H1457" s="45"/>
      <c r="I1457" s="46"/>
      <c r="J1457" s="46"/>
      <c r="K1457" s="46"/>
      <c r="L1457" s="47"/>
      <c r="M1457" s="23"/>
      <c r="N1457" s="25"/>
    </row>
    <row r="1458" spans="1:17" ht="15.95" customHeight="1" x14ac:dyDescent="0.25">
      <c r="A1458" s="121"/>
      <c r="B1458" s="23"/>
      <c r="C1458" s="79" t="s">
        <v>38</v>
      </c>
      <c r="D1458" s="75"/>
      <c r="E1458" s="76"/>
      <c r="F1458" s="483"/>
      <c r="G1458" s="484"/>
      <c r="H1458" s="48">
        <f>+$D$1467</f>
        <v>43249</v>
      </c>
      <c r="I1458" s="70"/>
      <c r="J1458" s="49"/>
      <c r="K1458" s="49"/>
      <c r="L1458" s="50">
        <f>+D1469</f>
        <v>23100000</v>
      </c>
      <c r="M1458" s="93">
        <f>-L1458</f>
        <v>-23100000</v>
      </c>
      <c r="N1458" s="25"/>
      <c r="O1458" s="194" t="str">
        <f>+D1570</f>
        <v>ON Pyme CNV Garantizada</v>
      </c>
    </row>
    <row r="1459" spans="1:17" ht="15.95" customHeight="1" x14ac:dyDescent="0.25">
      <c r="A1459" s="121"/>
      <c r="B1459" s="23"/>
      <c r="C1459" s="59"/>
      <c r="D1459" s="73"/>
      <c r="E1459" s="74"/>
      <c r="F1459" s="483"/>
      <c r="G1459" s="484"/>
      <c r="H1459" s="51">
        <f>IF(DAY(H1458)=DAY($H$1458),IF(WEEKDAY(EDATE(H1458,$D$1470),3)&lt;5,EDATE(H1458,$D$1470),WORKDAY(EDATE(H1458,$D$1470),1)),IF(WEEKDAY(EDATE($H$1458,$D$1470*COUNT($H$1458:H1458)),3)&lt;5,EDATE($H$1458,$D$1470*COUNT($H$1458:H1458)),WORKDAY(EDATE($H$1458,$D$1470*COUNT($H$1458:H1458)),1)))</f>
        <v>43341</v>
      </c>
      <c r="I1459" s="71" t="s">
        <v>13</v>
      </c>
      <c r="J1459" s="52">
        <f>(IF(AND($D$1473&lt;&gt;"",$D$1473&gt;(AVERAGE(VLOOKUP(WORKDAY.INTL(H1459,-7,1,),'Tasas-TC'!A:B,2,FALSE),VLOOKUP(WORKDAY.INTL(H1458,-7,1,),'Tasas-TC'!A:B,2,FALSE))+$D$1472)),$D$1473,IF(AND($D$1474&lt;&gt;"",$D$1474&lt;(AVERAGE(VLOOKUP(WORKDAY.INTL(H1459,-7,1,),'Tasas-TC'!A:B,2,FALSE),VLOOKUP(WORKDAY.INTL(H1458,-7,1,),'Tasas-TC'!A:B,2,FALSE))+$D$1472)),$D$1474,(AVERAGE(VLOOKUP(WORKDAY.INTL(H1459,-7,1,),'Tasas-TC'!A:B,2,FALSE),VLOOKUP(WORKDAY.INTL(H1458,-7,1,),'Tasas-TC'!A:B,2,FALSE))+$D$1472)))/365)*(H1459-H1458)*L1458</f>
        <v>2470908.9041095884</v>
      </c>
      <c r="K1459" s="52">
        <f t="shared" ref="K1459:K1466" si="126">+IF(OR(I1459="A + C",I1459="A"),$D$1469*$D$1475,0)</f>
        <v>2887500</v>
      </c>
      <c r="L1459" s="53">
        <f t="shared" ref="L1459:L1466" si="127">+L1458-K1459</f>
        <v>20212500</v>
      </c>
      <c r="M1459" s="94">
        <f t="shared" ref="M1459:M1466" si="128">+J1459+K1459</f>
        <v>5358408.9041095879</v>
      </c>
      <c r="N1459" s="25"/>
      <c r="O1459" s="195"/>
    </row>
    <row r="1460" spans="1:17" ht="15.95" customHeight="1" x14ac:dyDescent="0.25">
      <c r="A1460" s="121"/>
      <c r="B1460" s="23"/>
      <c r="C1460" s="60"/>
      <c r="D1460" s="77"/>
      <c r="E1460" s="78"/>
      <c r="F1460" s="483"/>
      <c r="G1460" s="484"/>
      <c r="H1460" s="51">
        <f>IF(DAY(H1459)=DAY($H$1458),IF(WEEKDAY(EDATE(H1459,$D$1470),3)&lt;5,EDATE(H1459,$D$1470),WORKDAY(EDATE(H1459,$D$1470),1)),IF(WEEKDAY(EDATE($H$1458,$D$1470*COUNT($H$1458:H1459)),3)&lt;5,EDATE($H$1458,$D$1470*COUNT($H$1458:H1459)),WORKDAY(EDATE($H$1458,$D$1470*COUNT($H$1458:H1459)),1)))</f>
        <v>43433</v>
      </c>
      <c r="I1460" s="71" t="s">
        <v>13</v>
      </c>
      <c r="J1460" s="52">
        <f>(IF(AND($D$1473&lt;&gt;"",$D$1473&gt;(AVERAGE(VLOOKUP(WORKDAY.INTL(H1460,-7,1,),'Tasas-TC'!A:B,2,FALSE),VLOOKUP(WORKDAY.INTL(H1459,-7,1,),'Tasas-TC'!A:B,2,FALSE))+$D$1472)),$D$1473,IF(AND($D$1474&lt;&gt;"",$D$1474&lt;(AVERAGE(VLOOKUP(WORKDAY.INTL(H1460,-7,1,),'Tasas-TC'!A:B,2,FALSE),VLOOKUP(WORKDAY.INTL(H1459,-7,1,),'Tasas-TC'!A:B,2,FALSE))+$D$1472)),$D$1474,(AVERAGE(VLOOKUP(WORKDAY.INTL(H1460,-7,1,),'Tasas-TC'!A:B,2,FALSE),VLOOKUP(WORKDAY.INTL(H1459,-7,1,),'Tasas-TC'!A:B,2,FALSE))+$D$1472)))/365)*(H1460-H1459)*L1459</f>
        <v>2719273.4589041094</v>
      </c>
      <c r="K1460" s="52">
        <f t="shared" si="126"/>
        <v>2887500</v>
      </c>
      <c r="L1460" s="53">
        <f t="shared" si="127"/>
        <v>17325000</v>
      </c>
      <c r="M1460" s="94">
        <f t="shared" si="128"/>
        <v>5606773.4589041099</v>
      </c>
      <c r="N1460" s="25"/>
      <c r="O1460" s="194" t="str">
        <f>+IF(J1568="vencida",IF(D1570='Reporte - Oscuro'!$C$40,'Reporte - Oscuro'!$C$40&amp;" vencida",IF(D1570='Reporte - Oscuro'!$C$41,'Reporte - Oscuro'!$C$41&amp;" vencida",IF(D1570='Reporte - Oscuro'!$C$42,'Reporte - Oscuro'!$C$42&amp;" vencida",'Reporte - Oscuro'!$C$43&amp;" vencida"))),D1570&amp;" vigente")</f>
        <v>ON Pyme CNV Garantizada vencida</v>
      </c>
    </row>
    <row r="1461" spans="1:17" ht="15.95" customHeight="1" x14ac:dyDescent="0.25">
      <c r="A1461" s="121"/>
      <c r="B1461" s="23"/>
      <c r="C1461" s="60"/>
      <c r="D1461" s="55" t="str">
        <f>+B1449</f>
        <v>Intek II</v>
      </c>
      <c r="E1461" s="64"/>
      <c r="F1461" s="483"/>
      <c r="G1461" s="484">
        <f>+J1451</f>
        <v>0</v>
      </c>
      <c r="H1461" s="51">
        <f>IF(DAY(H1460)=DAY($H$1458),IF(WEEKDAY(EDATE(H1460,$D$1470),3)&lt;5,EDATE(H1460,$D$1470),WORKDAY(EDATE(H1460,$D$1470),1)),IF(WEEKDAY(EDATE($H$1458,$D$1470*COUNT($H$1458:H1460)),3)&lt;5,EDATE($H$1458,$D$1470*COUNT($H$1458:H1460)),WORKDAY(EDATE($H$1458,$D$1470*COUNT($H$1458:H1460)),1)))</f>
        <v>43524</v>
      </c>
      <c r="I1461" s="71" t="s">
        <v>13</v>
      </c>
      <c r="J1461" s="52">
        <f>(IF(AND($D$1473&lt;&gt;"",$D$1473&gt;(AVERAGE(VLOOKUP(WORKDAY.INTL(H1461,-7,1,),'Tasas-TC'!A:B,2,FALSE),VLOOKUP(WORKDAY.INTL(H1460,-7,1,),'Tasas-TC'!A:B,2,FALSE))+$D$1472)),$D$1473,IF(AND($D$1474&lt;&gt;"",$D$1474&lt;(AVERAGE(VLOOKUP(WORKDAY.INTL(H1461,-7,1,),'Tasas-TC'!A:B,2,FALSE),VLOOKUP(WORKDAY.INTL(H1460,-7,1,),'Tasas-TC'!A:B,2,FALSE))+$D$1472)),$D$1474,(AVERAGE(VLOOKUP(WORKDAY.INTL(H1461,-7,1,),'Tasas-TC'!A:B,2,FALSE),VLOOKUP(WORKDAY.INTL(H1460,-7,1,),'Tasas-TC'!A:B,2,FALSE))+$D$1472)))/365)*(H1461-H1460)*L1460</f>
        <v>2300071.7465753425</v>
      </c>
      <c r="K1461" s="52">
        <f t="shared" si="126"/>
        <v>2887500</v>
      </c>
      <c r="L1461" s="53">
        <f t="shared" si="127"/>
        <v>14437500</v>
      </c>
      <c r="M1461" s="94">
        <f t="shared" si="128"/>
        <v>5187571.7465753425</v>
      </c>
      <c r="N1461" s="25"/>
      <c r="O1461" s="195"/>
    </row>
    <row r="1462" spans="1:17" ht="15.95" customHeight="1" x14ac:dyDescent="0.25">
      <c r="A1462" s="121"/>
      <c r="B1462" s="32"/>
      <c r="D1462" s="644"/>
      <c r="E1462" s="660"/>
      <c r="F1462" s="483"/>
      <c r="G1462" s="484"/>
      <c r="H1462" s="51">
        <f>IF(DAY(H1461)=DAY($H$1458),IF(WEEKDAY(EDATE(H1461,$D$1470),3)&lt;5,EDATE(H1461,$D$1470),WORKDAY(EDATE(H1461,$D$1470),1)),IF(WEEKDAY(EDATE($H$1458,$D$1470*COUNT($H$1458:H1461)),3)&lt;5,EDATE($H$1458,$D$1470*COUNT($H$1458:H1461)),WORKDAY(EDATE($H$1458,$D$1470*COUNT($H$1458:H1461)),1)))</f>
        <v>43614</v>
      </c>
      <c r="I1462" s="71" t="s">
        <v>13</v>
      </c>
      <c r="J1462" s="52">
        <f>(IF(AND($D$1473&lt;&gt;"",$D$1473&gt;(AVERAGE(VLOOKUP(WORKDAY.INTL(H1462,-7,1,),'Tasas-TC'!A:B,2,FALSE),VLOOKUP(WORKDAY.INTL(H1461,-7,1,),'Tasas-TC'!A:B,2,FALSE))+$D$1472)),$D$1473,IF(AND($D$1474&lt;&gt;"",$D$1474&lt;(AVERAGE(VLOOKUP(WORKDAY.INTL(H1462,-7,1,),'Tasas-TC'!A:B,2,FALSE),VLOOKUP(WORKDAY.INTL(H1461,-7,1,),'Tasas-TC'!A:B,2,FALSE))+$D$1472)),$D$1474,(AVERAGE(VLOOKUP(WORKDAY.INTL(H1462,-7,1,),'Tasas-TC'!A:B,2,FALSE),VLOOKUP(WORKDAY.INTL(H1461,-7,1,),'Tasas-TC'!A:B,2,FALSE))+$D$1472)))/365)*(H1462-H1461)*L1461</f>
        <v>1941275.1498287672</v>
      </c>
      <c r="K1462" s="52">
        <f t="shared" si="126"/>
        <v>2887500</v>
      </c>
      <c r="L1462" s="53">
        <f t="shared" si="127"/>
        <v>11550000</v>
      </c>
      <c r="M1462" s="94">
        <f t="shared" si="128"/>
        <v>4828775.1498287674</v>
      </c>
      <c r="N1462" s="25"/>
      <c r="O1462" s="195"/>
    </row>
    <row r="1463" spans="1:17" ht="15.95" customHeight="1" x14ac:dyDescent="0.25">
      <c r="A1463" s="121"/>
      <c r="B1463" s="23"/>
      <c r="C1463" s="638" t="s">
        <v>36</v>
      </c>
      <c r="D1463" s="640"/>
      <c r="E1463" s="36"/>
      <c r="F1463" s="483"/>
      <c r="G1463" s="484"/>
      <c r="H1463" s="51">
        <f>IF(DAY(H1462)=DAY($H$1458),IF(WEEKDAY(EDATE(H1462,$D$1470),3)&lt;5,EDATE(H1462,$D$1470),WORKDAY(EDATE(H1462,$D$1470),1)),IF(WEEKDAY(EDATE($H$1458,$D$1470*COUNT($H$1458:H1462)),3)&lt;5,EDATE($H$1458,$D$1470*COUNT($H$1458:H1462)),WORKDAY(EDATE($H$1458,$D$1470*COUNT($H$1458:H1462)),1)))</f>
        <v>43706</v>
      </c>
      <c r="I1463" s="71" t="s">
        <v>13</v>
      </c>
      <c r="J1463" s="52">
        <f>(IF(AND($D$1473&lt;&gt;"",$D$1473&gt;(AVERAGE(VLOOKUP(WORKDAY.INTL(H1463,-7,1,),'Tasas-TC'!A:B,2,FALSE),VLOOKUP(WORKDAY.INTL(H1462,-7,1,),'Tasas-TC'!A:B,2,FALSE))+$D$1472)),$D$1473,IF(AND($D$1474&lt;&gt;"",$D$1474&lt;(AVERAGE(VLOOKUP(WORKDAY.INTL(H1463,-7,1,),'Tasas-TC'!A:B,2,FALSE),VLOOKUP(WORKDAY.INTL(H1462,-7,1,),'Tasas-TC'!A:B,2,FALSE))+$D$1472)),$D$1474,(AVERAGE(VLOOKUP(WORKDAY.INTL(H1463,-7,1,),'Tasas-TC'!A:B,2,FALSE),VLOOKUP(WORKDAY.INTL(H1462,-7,1,),'Tasas-TC'!A:B,2,FALSE))+$D$1472)))/365)*(H1463-H1462)*L1462</f>
        <v>1907767.2945205478</v>
      </c>
      <c r="K1463" s="52">
        <f t="shared" si="126"/>
        <v>2887500</v>
      </c>
      <c r="L1463" s="53">
        <f t="shared" si="127"/>
        <v>8662500</v>
      </c>
      <c r="M1463" s="94">
        <f t="shared" si="128"/>
        <v>4795267.2945205476</v>
      </c>
      <c r="N1463" s="25"/>
      <c r="O1463" s="195"/>
    </row>
    <row r="1464" spans="1:17" ht="15.95" customHeight="1" x14ac:dyDescent="0.25">
      <c r="A1464" s="121"/>
      <c r="B1464" s="23"/>
      <c r="C1464" s="59"/>
      <c r="D1464" s="62"/>
      <c r="E1464" s="36"/>
      <c r="F1464" s="483"/>
      <c r="G1464" s="484"/>
      <c r="H1464" s="51">
        <f>IF(DAY(H1463)=DAY($H$1458),IF(WEEKDAY(EDATE(H1463,$D$1470),3)&lt;5,EDATE(H1463,$D$1470),WORKDAY(EDATE(H1463,$D$1470),1)),IF(WEEKDAY(EDATE($H$1458,$D$1470*COUNT($H$1458:H1463)),3)&lt;5,EDATE($H$1458,$D$1470*COUNT($H$1458:H1463)),WORKDAY(EDATE($H$1458,$D$1470*COUNT($H$1458:H1463)),1)))</f>
        <v>43798</v>
      </c>
      <c r="I1464" s="71" t="s">
        <v>13</v>
      </c>
      <c r="J1464" s="52">
        <f>(IF(AND($D$1473&lt;&gt;"",$D$1473&gt;(AVERAGE(VLOOKUP(WORKDAY.INTL(H1464,-7,1,),'Tasas-TC'!A:B,2,FALSE),VLOOKUP(WORKDAY.INTL(H1463,-7,1,),'Tasas-TC'!A:B,2,FALSE))+$D$1472)),$D$1473,IF(AND($D$1474&lt;&gt;"",$D$1474&lt;(AVERAGE(VLOOKUP(WORKDAY.INTL(H1464,-7,1,),'Tasas-TC'!A:B,2,FALSE),VLOOKUP(WORKDAY.INTL(H1463,-7,1,),'Tasas-TC'!A:B,2,FALSE))+$D$1472)),$D$1474,(AVERAGE(VLOOKUP(WORKDAY.INTL(H1464,-7,1,),'Tasas-TC'!A:B,2,FALSE),VLOOKUP(WORKDAY.INTL(H1463,-7,1,),'Tasas-TC'!A:B,2,FALSE))+$D$1472)))/365)*(H1464-H1463)*L1463</f>
        <v>1337347.602739726</v>
      </c>
      <c r="K1464" s="52">
        <f t="shared" si="126"/>
        <v>2887500</v>
      </c>
      <c r="L1464" s="53">
        <f t="shared" si="127"/>
        <v>5775000</v>
      </c>
      <c r="M1464" s="94">
        <f t="shared" si="128"/>
        <v>4224847.6027397262</v>
      </c>
      <c r="N1464" s="25"/>
      <c r="O1464" s="195"/>
    </row>
    <row r="1465" spans="1:17" ht="15.95" customHeight="1" x14ac:dyDescent="0.25">
      <c r="A1465" s="121"/>
      <c r="B1465" s="23"/>
      <c r="C1465" s="59" t="s">
        <v>9</v>
      </c>
      <c r="D1465" s="98" t="s">
        <v>18</v>
      </c>
      <c r="E1465" s="36"/>
      <c r="F1465" s="483"/>
      <c r="G1465" s="484"/>
      <c r="H1465" s="51">
        <f>IF(DAY(H1464)=DAY($H$1458),IF(WEEKDAY(EDATE(H1464,$D$1470),3)&lt;5,EDATE(H1464,$D$1470),WORKDAY(EDATE(H1464,$D$1470),1)),IF(WEEKDAY(EDATE($H$1458,$D$1470*COUNT($H$1458:H1464)),3)&lt;5,EDATE($H$1458,$D$1470*COUNT($H$1458:H1464)),WORKDAY(EDATE($H$1458,$D$1470*COUNT($H$1458:H1464)),1)))</f>
        <v>43892</v>
      </c>
      <c r="I1465" s="71" t="s">
        <v>13</v>
      </c>
      <c r="J1465" s="52">
        <f>(IF(AND($D$1473&lt;&gt;"",$D$1473&gt;(AVERAGE(VLOOKUP(WORKDAY.INTL(H1465,-7,1,),'Tasas-TC'!A:B,2,FALSE),VLOOKUP(WORKDAY.INTL(H1464,-7,1,),'Tasas-TC'!A:B,2,FALSE))+$D$1472)),$D$1473,IF(AND($D$1474&lt;&gt;"",$D$1474&lt;(AVERAGE(VLOOKUP(WORKDAY.INTL(H1465,-7,1,),'Tasas-TC'!A:B,2,FALSE),VLOOKUP(WORKDAY.INTL(H1464,-7,1,),'Tasas-TC'!A:B,2,FALSE))+$D$1472)),$D$1474,(AVERAGE(VLOOKUP(WORKDAY.INTL(H1465,-7,1,),'Tasas-TC'!A:B,2,FALSE),VLOOKUP(WORKDAY.INTL(H1464,-7,1,),'Tasas-TC'!A:B,2,FALSE))+$D$1472)))/365)*(H1465-H1464)*L1464</f>
        <v>729687.07191780827</v>
      </c>
      <c r="K1465" s="52">
        <f t="shared" si="126"/>
        <v>2887500</v>
      </c>
      <c r="L1465" s="53">
        <f t="shared" si="127"/>
        <v>2887500</v>
      </c>
      <c r="M1465" s="94">
        <f t="shared" si="128"/>
        <v>3617187.0719178081</v>
      </c>
      <c r="N1465" s="25"/>
      <c r="O1465" s="197">
        <f>+M1573</f>
        <v>-20000000</v>
      </c>
      <c r="P1465" s="197">
        <f>-M1573</f>
        <v>20000000</v>
      </c>
    </row>
    <row r="1466" spans="1:17" ht="15.95" customHeight="1" x14ac:dyDescent="0.25">
      <c r="A1466" s="121"/>
      <c r="B1466" s="23"/>
      <c r="C1466" s="59" t="s">
        <v>10</v>
      </c>
      <c r="D1466" s="65">
        <v>43243</v>
      </c>
      <c r="E1466" s="36"/>
      <c r="F1466" s="483"/>
      <c r="G1466" s="484"/>
      <c r="H1466" s="51">
        <f>IF(DAY(H1465)=DAY($H$1458),IF(WEEKDAY(EDATE(H1465,$D$1470),3)&lt;5,EDATE(H1465,$D$1470),WORKDAY(EDATE(H1465,$D$1470),1)),IF(WEEKDAY(EDATE($H$1458,$D$1470*COUNT($H$1458:H1465)),3)&lt;5,EDATE($H$1458,$D$1470*COUNT($H$1458:H1465)),WORKDAY(EDATE($H$1458,$D$1470*COUNT($H$1458:H1465)),1)))</f>
        <v>43980</v>
      </c>
      <c r="I1466" s="71" t="s">
        <v>13</v>
      </c>
      <c r="J1466" s="52">
        <f>(IF(AND($D$1473&lt;&gt;"",$D$1473&gt;(AVERAGE(VLOOKUP(WORKDAY.INTL(H1466,-7,1,),'Tasas-TC'!A:B,2,FALSE),VLOOKUP(WORKDAY.INTL(H1465,-7,1,),'Tasas-TC'!A:B,2,FALSE))+$D$1472)),$D$1473,IF(AND($D$1474&lt;&gt;"",$D$1474&lt;(AVERAGE(VLOOKUP(WORKDAY.INTL(H1466,-7,1,),'Tasas-TC'!A:B,2,FALSE),VLOOKUP(WORKDAY.INTL(H1465,-7,1,),'Tasas-TC'!A:B,2,FALSE))+$D$1472)),$D$1474,(AVERAGE(VLOOKUP(WORKDAY.INTL(H1466,-7,1,),'Tasas-TC'!A:B,2,FALSE),VLOOKUP(WORKDAY.INTL(H1465,-7,1,),'Tasas-TC'!A:B,2,FALSE))+$D$1472)))/365)*(H1466-H1465)*L1465</f>
        <v>276725.34246575338</v>
      </c>
      <c r="K1466" s="52">
        <f t="shared" si="126"/>
        <v>2887500</v>
      </c>
      <c r="L1466" s="53">
        <f t="shared" si="127"/>
        <v>0</v>
      </c>
      <c r="M1466" s="94">
        <f t="shared" si="128"/>
        <v>3164225.3424657532</v>
      </c>
      <c r="N1466" s="25"/>
      <c r="O1466" s="197">
        <f t="shared" ref="O1466:O1471" si="129">+M1574+O1465</f>
        <v>-16562222.222222222</v>
      </c>
      <c r="P1466" s="197">
        <f t="shared" ref="P1466:P1471" si="130">+(M1574/(1+$J$1583)^((H1574-$H$1573)/365))/$P$1465</f>
        <v>0.1718888888888889</v>
      </c>
      <c r="Q1466" s="197">
        <f t="shared" ref="Q1466:Q1471" si="131">+P1466*((H1574-$H$1573)/365)</f>
        <v>8.5708980213089814E-2</v>
      </c>
    </row>
    <row r="1467" spans="1:17" ht="15.95" customHeight="1" x14ac:dyDescent="0.25">
      <c r="A1467" s="121"/>
      <c r="B1467" s="23"/>
      <c r="C1467" s="59" t="s">
        <v>11</v>
      </c>
      <c r="D1467" s="65">
        <v>43249</v>
      </c>
      <c r="E1467" s="36"/>
      <c r="F1467" s="483"/>
      <c r="G1467" s="484"/>
      <c r="H1467" s="54"/>
      <c r="I1467" s="104"/>
      <c r="J1467" s="55"/>
      <c r="K1467" s="56"/>
      <c r="L1467" s="57"/>
      <c r="M1467" s="95"/>
      <c r="N1467" s="25"/>
      <c r="O1467" s="197">
        <f t="shared" si="129"/>
        <v>-9105555.555555556</v>
      </c>
      <c r="P1467" s="197">
        <f t="shared" si="130"/>
        <v>0.37283333333333335</v>
      </c>
      <c r="Q1467" s="197">
        <f t="shared" si="131"/>
        <v>0.37283333333333335</v>
      </c>
    </row>
    <row r="1468" spans="1:17" ht="15.95" customHeight="1" x14ac:dyDescent="0.25">
      <c r="A1468" s="121"/>
      <c r="B1468" s="23"/>
      <c r="C1468" s="59" t="s">
        <v>12</v>
      </c>
      <c r="D1468" s="65">
        <v>43980</v>
      </c>
      <c r="E1468" s="36"/>
      <c r="F1468" s="483"/>
      <c r="G1468" s="484"/>
      <c r="H1468" s="24"/>
      <c r="I1468" s="24"/>
      <c r="J1468" s="24"/>
      <c r="K1468" s="24"/>
      <c r="L1468" s="24"/>
      <c r="M1468" s="24"/>
      <c r="N1468" s="25"/>
      <c r="O1468" s="197">
        <f t="shared" si="129"/>
        <v>-2355333.333333334</v>
      </c>
      <c r="P1468" s="197">
        <f t="shared" si="130"/>
        <v>0.3375111111111111</v>
      </c>
      <c r="Q1468" s="197">
        <f t="shared" si="131"/>
        <v>0.50580432267884323</v>
      </c>
    </row>
    <row r="1469" spans="1:17" ht="15.95" customHeight="1" x14ac:dyDescent="0.25">
      <c r="A1469" s="121"/>
      <c r="B1469" s="23"/>
      <c r="C1469" s="59" t="s">
        <v>27</v>
      </c>
      <c r="D1469" s="66">
        <v>23100000</v>
      </c>
      <c r="E1469" s="41"/>
      <c r="F1469" s="480"/>
      <c r="G1469" s="484"/>
      <c r="H1469" s="656" t="s">
        <v>43</v>
      </c>
      <c r="I1469" s="656"/>
      <c r="J1469" s="92">
        <v>0</v>
      </c>
      <c r="K1469" s="92"/>
      <c r="L1469" s="24"/>
      <c r="M1469" s="24"/>
      <c r="N1469" s="25"/>
      <c r="O1469" s="197">
        <f t="shared" si="129"/>
        <v>3741333.333333333</v>
      </c>
      <c r="P1469" s="197">
        <f t="shared" si="130"/>
        <v>0.30483333333333335</v>
      </c>
      <c r="Q1469" s="197">
        <f t="shared" si="131"/>
        <v>0.6113369863013699</v>
      </c>
    </row>
    <row r="1470" spans="1:17" ht="15.95" customHeight="1" x14ac:dyDescent="0.25">
      <c r="A1470" s="121"/>
      <c r="B1470" s="23"/>
      <c r="C1470" s="59" t="s">
        <v>26</v>
      </c>
      <c r="D1470" s="66">
        <v>3</v>
      </c>
      <c r="E1470" s="36"/>
      <c r="F1470" s="480"/>
      <c r="G1470" s="484"/>
      <c r="H1470" s="657"/>
      <c r="I1470" s="657"/>
      <c r="J1470" s="392"/>
      <c r="K1470" s="24"/>
      <c r="L1470" s="33"/>
      <c r="M1470" s="33"/>
      <c r="N1470" s="25"/>
      <c r="O1470" s="197">
        <f t="shared" si="129"/>
        <v>9116444.444444444</v>
      </c>
      <c r="P1470" s="197">
        <f t="shared" si="130"/>
        <v>0.26875555555555553</v>
      </c>
      <c r="Q1470" s="197">
        <f t="shared" si="131"/>
        <v>0.67299336377473362</v>
      </c>
    </row>
    <row r="1471" spans="1:17" ht="15.95" customHeight="1" x14ac:dyDescent="0.25">
      <c r="A1471" s="121"/>
      <c r="B1471" s="23"/>
      <c r="C1471" s="59" t="s">
        <v>19</v>
      </c>
      <c r="D1471" s="67" t="s">
        <v>20</v>
      </c>
      <c r="E1471" s="43"/>
      <c r="F1471" s="480"/>
      <c r="G1471" s="484"/>
      <c r="H1471" s="24"/>
      <c r="I1471" s="24"/>
      <c r="J1471" s="24"/>
      <c r="K1471" s="24"/>
      <c r="L1471" s="24"/>
      <c r="M1471" s="24"/>
      <c r="N1471" s="25"/>
      <c r="O1471" s="197">
        <f t="shared" si="129"/>
        <v>13804000</v>
      </c>
      <c r="P1471" s="197">
        <f t="shared" si="130"/>
        <v>0.2343777777777778</v>
      </c>
      <c r="Q1471" s="197">
        <f t="shared" si="131"/>
        <v>0.70377546423135473</v>
      </c>
    </row>
    <row r="1472" spans="1:17" ht="15.95" customHeight="1" x14ac:dyDescent="0.25">
      <c r="A1472" s="121"/>
      <c r="B1472" s="23"/>
      <c r="C1472" s="59" t="s">
        <v>14</v>
      </c>
      <c r="D1472" s="68">
        <v>0.1</v>
      </c>
      <c r="E1472" s="43"/>
      <c r="F1472" s="480"/>
      <c r="G1472" s="485"/>
      <c r="H1472" s="638" t="s">
        <v>44</v>
      </c>
      <c r="I1472" s="639"/>
      <c r="J1472" s="639"/>
      <c r="K1472" s="639"/>
      <c r="L1472" s="639"/>
      <c r="M1472" s="640"/>
      <c r="N1472" s="25"/>
      <c r="O1472" s="195"/>
      <c r="P1472" s="29"/>
    </row>
    <row r="1473" spans="1:16" ht="15.95" customHeight="1" x14ac:dyDescent="0.25">
      <c r="A1473" s="121"/>
      <c r="B1473" s="23"/>
      <c r="C1473" s="59" t="s">
        <v>31</v>
      </c>
      <c r="D1473" s="68"/>
      <c r="E1473" s="43"/>
      <c r="F1473" s="480"/>
      <c r="G1473" s="485"/>
      <c r="H1473" s="23"/>
      <c r="I1473" s="24"/>
      <c r="J1473" s="24"/>
      <c r="K1473" s="24"/>
      <c r="L1473" s="24"/>
      <c r="M1473" s="25"/>
      <c r="N1473" s="25"/>
      <c r="O1473" s="195"/>
      <c r="P1473" s="29"/>
    </row>
    <row r="1474" spans="1:16" ht="15.95" customHeight="1" x14ac:dyDescent="0.25">
      <c r="A1474" s="121"/>
      <c r="B1474" s="23"/>
      <c r="C1474" s="59" t="s">
        <v>32</v>
      </c>
      <c r="D1474" s="68"/>
      <c r="E1474" s="44"/>
      <c r="F1474" s="480"/>
      <c r="G1474" s="485"/>
      <c r="H1474" s="23"/>
      <c r="I1474" s="24"/>
      <c r="J1474" s="24"/>
      <c r="K1474" s="24"/>
      <c r="L1474" s="24"/>
      <c r="M1474" s="25"/>
      <c r="N1474" s="25"/>
      <c r="O1474" s="195"/>
      <c r="P1474" s="29"/>
    </row>
    <row r="1475" spans="1:16" ht="15.95" customHeight="1" x14ac:dyDescent="0.25">
      <c r="A1475" s="121"/>
      <c r="B1475" s="23"/>
      <c r="C1475" s="59" t="s">
        <v>78</v>
      </c>
      <c r="D1475" s="100">
        <v>0.125</v>
      </c>
      <c r="E1475" s="24"/>
      <c r="F1475" s="480"/>
      <c r="G1475" s="485"/>
      <c r="H1475" s="96"/>
      <c r="I1475" s="35"/>
      <c r="J1475" s="24"/>
      <c r="K1475" s="24"/>
      <c r="L1475" s="24"/>
      <c r="M1475" s="25"/>
      <c r="N1475" s="25"/>
      <c r="O1475" s="195"/>
    </row>
    <row r="1476" spans="1:16" ht="15.95" customHeight="1" x14ac:dyDescent="0.25">
      <c r="A1476" s="121"/>
      <c r="B1476" s="23"/>
      <c r="C1476" s="63"/>
      <c r="D1476" s="120"/>
      <c r="E1476" s="24"/>
      <c r="F1476" s="480"/>
      <c r="G1476" s="485"/>
      <c r="H1476" s="23"/>
      <c r="I1476" s="24"/>
      <c r="J1476" s="24"/>
      <c r="K1476" s="24"/>
      <c r="L1476" s="24"/>
      <c r="M1476" s="25"/>
      <c r="N1476" s="25"/>
      <c r="O1476" s="195"/>
      <c r="P1476" s="37"/>
    </row>
    <row r="1477" spans="1:16" ht="15.95" customHeight="1" x14ac:dyDescent="0.25">
      <c r="A1477" s="121"/>
      <c r="B1477" s="23"/>
      <c r="C1477" s="24"/>
      <c r="D1477" s="24"/>
      <c r="E1477" s="24"/>
      <c r="F1477" s="480"/>
      <c r="G1477" s="485"/>
      <c r="H1477" s="23"/>
      <c r="I1477" s="24"/>
      <c r="J1477" s="24"/>
      <c r="K1477" s="24"/>
      <c r="L1477" s="24"/>
      <c r="M1477" s="25"/>
      <c r="N1477" s="25"/>
      <c r="O1477" s="195"/>
    </row>
    <row r="1478" spans="1:16" ht="15.95" customHeight="1" x14ac:dyDescent="0.25">
      <c r="A1478" s="121"/>
      <c r="B1478" s="23"/>
      <c r="C1478" s="24"/>
      <c r="D1478" s="24"/>
      <c r="E1478" s="24"/>
      <c r="F1478" s="480"/>
      <c r="G1478" s="485"/>
      <c r="H1478" s="23"/>
      <c r="I1478" s="24"/>
      <c r="J1478" s="24"/>
      <c r="K1478" s="24"/>
      <c r="L1478" s="24"/>
      <c r="M1478" s="25"/>
      <c r="N1478" s="25"/>
      <c r="O1478" s="195"/>
    </row>
    <row r="1479" spans="1:16" ht="15.95" customHeight="1" x14ac:dyDescent="0.25">
      <c r="A1479" s="121"/>
      <c r="B1479" s="23"/>
      <c r="C1479" s="24"/>
      <c r="D1479" s="24"/>
      <c r="E1479" s="24"/>
      <c r="F1479" s="480"/>
      <c r="G1479" s="485"/>
      <c r="H1479" s="23"/>
      <c r="I1479" s="24"/>
      <c r="J1479" s="24"/>
      <c r="K1479" s="24"/>
      <c r="L1479" s="24"/>
      <c r="M1479" s="25"/>
      <c r="N1479" s="25"/>
      <c r="O1479" s="195"/>
    </row>
    <row r="1480" spans="1:16" ht="15.95" customHeight="1" x14ac:dyDescent="0.25">
      <c r="A1480" s="121"/>
      <c r="B1480" s="23"/>
      <c r="C1480" s="24"/>
      <c r="D1480" s="24"/>
      <c r="E1480" s="24"/>
      <c r="F1480" s="480"/>
      <c r="G1480" s="485"/>
      <c r="H1480" s="23"/>
      <c r="I1480" s="24"/>
      <c r="J1480" s="24"/>
      <c r="K1480" s="24"/>
      <c r="L1480" s="24"/>
      <c r="M1480" s="25"/>
      <c r="N1480" s="25"/>
      <c r="O1480" s="195"/>
    </row>
    <row r="1481" spans="1:16" ht="15.95" customHeight="1" x14ac:dyDescent="0.25">
      <c r="A1481" s="121"/>
      <c r="B1481" s="23"/>
      <c r="C1481" s="24"/>
      <c r="D1481" s="24"/>
      <c r="E1481" s="24"/>
      <c r="F1481" s="480"/>
      <c r="G1481" s="485"/>
      <c r="H1481" s="23"/>
      <c r="I1481" s="24"/>
      <c r="J1481" s="24"/>
      <c r="K1481" s="24"/>
      <c r="L1481" s="24"/>
      <c r="M1481" s="25"/>
      <c r="N1481" s="25"/>
      <c r="O1481" s="195"/>
    </row>
    <row r="1482" spans="1:16" ht="15.95" customHeight="1" x14ac:dyDescent="0.25">
      <c r="A1482" s="121"/>
      <c r="B1482" s="23"/>
      <c r="C1482" s="24"/>
      <c r="D1482" s="24"/>
      <c r="E1482" s="24"/>
      <c r="F1482" s="480"/>
      <c r="G1482" s="485"/>
      <c r="H1482" s="23"/>
      <c r="I1482" s="24"/>
      <c r="J1482" s="24"/>
      <c r="K1482" s="24"/>
      <c r="L1482" s="24"/>
      <c r="M1482" s="25"/>
      <c r="N1482" s="25"/>
      <c r="O1482" s="195"/>
    </row>
    <row r="1483" spans="1:16" ht="15.95" customHeight="1" x14ac:dyDescent="0.25">
      <c r="A1483" s="121"/>
      <c r="B1483" s="23"/>
      <c r="C1483" s="24"/>
      <c r="D1483" s="24"/>
      <c r="E1483" s="24"/>
      <c r="F1483" s="480"/>
      <c r="G1483" s="485"/>
      <c r="H1483" s="23"/>
      <c r="I1483" s="24"/>
      <c r="J1483" s="24"/>
      <c r="K1483" s="24"/>
      <c r="L1483" s="24"/>
      <c r="M1483" s="25"/>
      <c r="N1483" s="25"/>
      <c r="O1483" s="195"/>
    </row>
    <row r="1484" spans="1:16" ht="15.95" customHeight="1" x14ac:dyDescent="0.25">
      <c r="A1484" s="121"/>
      <c r="B1484" s="23"/>
      <c r="C1484" s="24"/>
      <c r="D1484" s="24"/>
      <c r="E1484" s="24"/>
      <c r="F1484" s="480"/>
      <c r="G1484" s="485"/>
      <c r="H1484" s="26"/>
      <c r="I1484" s="27"/>
      <c r="J1484" s="27"/>
      <c r="K1484" s="27"/>
      <c r="L1484" s="27"/>
      <c r="M1484" s="28"/>
      <c r="N1484" s="25"/>
      <c r="O1484" s="195"/>
    </row>
    <row r="1485" spans="1:16" ht="15.95" customHeight="1" x14ac:dyDescent="0.25">
      <c r="A1485" s="121"/>
      <c r="B1485" s="26"/>
      <c r="C1485" s="27"/>
      <c r="D1485" s="27"/>
      <c r="E1485" s="27"/>
      <c r="F1485" s="481"/>
      <c r="G1485" s="486"/>
      <c r="H1485" s="27"/>
      <c r="I1485" s="27"/>
      <c r="J1485" s="27"/>
      <c r="K1485" s="27"/>
      <c r="L1485" s="27"/>
      <c r="M1485" s="27"/>
      <c r="N1485" s="28"/>
      <c r="O1485" s="195"/>
    </row>
    <row r="1486" spans="1:16" ht="15.95" customHeight="1" x14ac:dyDescent="0.25">
      <c r="A1486" s="122" t="s">
        <v>126</v>
      </c>
      <c r="B1486" s="661" t="s">
        <v>361</v>
      </c>
      <c r="C1486" s="662"/>
      <c r="D1486" s="662"/>
      <c r="E1486" s="662"/>
      <c r="F1486" s="662"/>
      <c r="G1486" s="662"/>
      <c r="H1486" s="662"/>
      <c r="I1486" s="662"/>
      <c r="J1486" s="662"/>
      <c r="K1486" s="662"/>
      <c r="L1486" s="662"/>
      <c r="M1486" s="662"/>
      <c r="N1486" s="663"/>
      <c r="O1486" s="195"/>
    </row>
    <row r="1487" spans="1:16" ht="15.95" customHeight="1" x14ac:dyDescent="0.25">
      <c r="A1487" s="121"/>
      <c r="B1487" s="23"/>
      <c r="C1487" s="24"/>
      <c r="D1487" s="24"/>
      <c r="E1487" s="24"/>
      <c r="F1487" s="483"/>
      <c r="G1487" s="484"/>
      <c r="H1487" s="31"/>
      <c r="I1487" s="31"/>
      <c r="J1487" s="24"/>
      <c r="K1487" s="24"/>
      <c r="L1487" s="24"/>
      <c r="M1487" s="24"/>
      <c r="N1487" s="25"/>
      <c r="O1487" s="195"/>
    </row>
    <row r="1488" spans="1:16" ht="15.95" customHeight="1" x14ac:dyDescent="0.25">
      <c r="A1488" s="121"/>
      <c r="B1488" s="23"/>
      <c r="C1488" s="638" t="s">
        <v>37</v>
      </c>
      <c r="D1488" s="639"/>
      <c r="E1488" s="640"/>
      <c r="F1488" s="483"/>
      <c r="G1488" s="484"/>
      <c r="H1488" s="641" t="s">
        <v>28</v>
      </c>
      <c r="I1488" s="642"/>
      <c r="J1488" s="39">
        <v>0</v>
      </c>
      <c r="K1488" s="24"/>
      <c r="L1488" s="24"/>
      <c r="M1488" s="24"/>
      <c r="N1488" s="25"/>
      <c r="O1488" s="195"/>
    </row>
    <row r="1489" spans="1:17" ht="15.95" customHeight="1" x14ac:dyDescent="0.25">
      <c r="A1489" s="121"/>
      <c r="B1489" s="23"/>
      <c r="C1489" s="58"/>
      <c r="D1489" s="664"/>
      <c r="E1489" s="665"/>
      <c r="F1489" s="483"/>
      <c r="G1489" s="484"/>
      <c r="H1489" s="645" t="s">
        <v>29</v>
      </c>
      <c r="I1489" s="646"/>
      <c r="J1489" s="40">
        <f>+$D$1507</f>
        <v>45322</v>
      </c>
      <c r="K1489" s="24"/>
      <c r="L1489" s="24"/>
      <c r="M1489" s="24"/>
      <c r="N1489" s="25"/>
      <c r="O1489" s="195"/>
    </row>
    <row r="1490" spans="1:17" ht="15.95" customHeight="1" x14ac:dyDescent="0.25">
      <c r="A1490" s="121"/>
      <c r="B1490" s="23"/>
      <c r="C1490" s="59" t="s">
        <v>25</v>
      </c>
      <c r="D1490" s="658"/>
      <c r="E1490" s="659"/>
      <c r="F1490" s="483"/>
      <c r="G1490" s="484"/>
      <c r="H1490" s="649" t="s">
        <v>30</v>
      </c>
      <c r="I1490" s="650"/>
      <c r="J1490" s="42" t="s">
        <v>523</v>
      </c>
      <c r="K1490" s="24"/>
      <c r="L1490" s="24"/>
      <c r="M1490" s="24"/>
      <c r="N1490" s="25"/>
      <c r="O1490" s="195"/>
    </row>
    <row r="1491" spans="1:17" ht="15.95" customHeight="1" x14ac:dyDescent="0.25">
      <c r="A1491" s="121"/>
      <c r="B1491" s="23"/>
      <c r="C1491" s="59" t="s">
        <v>6</v>
      </c>
      <c r="D1491" s="658" t="s">
        <v>362</v>
      </c>
      <c r="E1491" s="659"/>
      <c r="F1491" s="483"/>
      <c r="G1491" s="484"/>
      <c r="H1491" s="24"/>
      <c r="I1491" s="24"/>
      <c r="J1491" s="24"/>
      <c r="K1491" s="24"/>
      <c r="L1491" s="24"/>
      <c r="M1491" s="24"/>
      <c r="N1491" s="25"/>
      <c r="O1491" s="195"/>
    </row>
    <row r="1492" spans="1:17" ht="15.95" customHeight="1" x14ac:dyDescent="0.25">
      <c r="A1492" s="121"/>
      <c r="B1492" s="23"/>
      <c r="C1492" s="59" t="s">
        <v>8</v>
      </c>
      <c r="D1492" s="658" t="s">
        <v>17</v>
      </c>
      <c r="E1492" s="659"/>
      <c r="F1492" s="483"/>
      <c r="G1492" s="484"/>
      <c r="H1492" s="651" t="s">
        <v>41</v>
      </c>
      <c r="I1492" s="652"/>
      <c r="J1492" s="652"/>
      <c r="K1492" s="652"/>
      <c r="L1492" s="653"/>
      <c r="M1492" s="24"/>
      <c r="N1492" s="25"/>
      <c r="O1492" s="195"/>
    </row>
    <row r="1493" spans="1:17" ht="15.95" customHeight="1" x14ac:dyDescent="0.25">
      <c r="A1493" s="121"/>
      <c r="B1493" s="23"/>
      <c r="C1493" s="59" t="s">
        <v>33</v>
      </c>
      <c r="D1493" s="73" t="s">
        <v>313</v>
      </c>
      <c r="E1493" s="273">
        <v>0.5</v>
      </c>
      <c r="F1493" s="483">
        <f>+E1493*J1488</f>
        <v>0</v>
      </c>
      <c r="G1493" s="484"/>
      <c r="H1493" s="81" t="s">
        <v>0</v>
      </c>
      <c r="I1493" s="82" t="s">
        <v>2</v>
      </c>
      <c r="J1493" s="82" t="s">
        <v>3</v>
      </c>
      <c r="K1493" s="82" t="s">
        <v>4</v>
      </c>
      <c r="L1493" s="83" t="s">
        <v>5</v>
      </c>
      <c r="M1493" s="83" t="s">
        <v>44</v>
      </c>
      <c r="N1493" s="25"/>
      <c r="O1493" s="194" t="str">
        <f>+D1606</f>
        <v>ON Pyme CNV Garantizada</v>
      </c>
    </row>
    <row r="1494" spans="1:17" ht="15.95" customHeight="1" x14ac:dyDescent="0.25">
      <c r="A1494" s="121"/>
      <c r="B1494" s="23"/>
      <c r="C1494" s="59" t="s">
        <v>33</v>
      </c>
      <c r="D1494" s="73" t="s">
        <v>319</v>
      </c>
      <c r="E1494" s="273">
        <v>0.5</v>
      </c>
      <c r="F1494" s="483">
        <f>+E1494*J1488</f>
        <v>0</v>
      </c>
      <c r="G1494" s="484"/>
      <c r="H1494" s="45"/>
      <c r="I1494" s="46"/>
      <c r="J1494" s="46"/>
      <c r="K1494" s="46"/>
      <c r="L1494" s="47"/>
      <c r="M1494" s="101"/>
      <c r="N1494" s="25"/>
      <c r="O1494" s="195"/>
    </row>
    <row r="1495" spans="1:17" ht="15.95" customHeight="1" x14ac:dyDescent="0.25">
      <c r="A1495" s="121"/>
      <c r="B1495" s="23"/>
      <c r="C1495" s="59" t="s">
        <v>34</v>
      </c>
      <c r="D1495" s="658" t="s">
        <v>35</v>
      </c>
      <c r="E1495" s="659"/>
      <c r="F1495" s="483"/>
      <c r="G1495" s="484"/>
      <c r="H1495" s="48">
        <f>+$D$1506</f>
        <v>44592</v>
      </c>
      <c r="I1495" s="70"/>
      <c r="J1495" s="49"/>
      <c r="K1495" s="49"/>
      <c r="L1495" s="50">
        <f>+D1508</f>
        <v>30000000</v>
      </c>
      <c r="M1495" s="102">
        <f>-L1495</f>
        <v>-30000000</v>
      </c>
      <c r="N1495" s="25"/>
      <c r="O1495" s="194" t="str">
        <f>+IF(J1604="vencida",IF(D1606='Reporte - Oscuro'!$C$40,'Reporte - Oscuro'!$C$40&amp;" vencida",IF(D1606='Reporte - Oscuro'!$C$41,'Reporte - Oscuro'!$C$41&amp;" vencida",IF(D1606='Reporte - Oscuro'!$C$42,'Reporte - Oscuro'!$C$42&amp;" vencida",'Reporte - Oscuro'!$C$43&amp;" vencida"))),D1606&amp;" vigente")</f>
        <v>ON Pyme CNV Garantizada vencida</v>
      </c>
    </row>
    <row r="1496" spans="1:17" ht="15.95" customHeight="1" x14ac:dyDescent="0.25">
      <c r="A1496" s="121"/>
      <c r="B1496" s="23"/>
      <c r="C1496" s="79" t="s">
        <v>38</v>
      </c>
      <c r="D1496" s="73"/>
      <c r="E1496" s="74"/>
      <c r="F1496" s="483"/>
      <c r="G1496" s="484"/>
      <c r="H1496" s="51">
        <v>44683</v>
      </c>
      <c r="I1496" s="71" t="s">
        <v>7</v>
      </c>
      <c r="J1496" s="52">
        <f>(IF(AND($D$1512&lt;&gt;"",$D$1512&gt;(AVERAGE(VLOOKUP(WORKDAY.INTL(H1496,-7,1,),'Tasas-TC'!A:B,2,FALSE),VLOOKUP(WORKDAY.INTL(H1495,-7,1,),'Tasas-TC'!A:B,2,FALSE))+$D$1511)),$D$1512,IF(AND($D$1513&lt;&gt;"",$D$1513&lt;(AVERAGE(VLOOKUP(WORKDAY.INTL(H1496,-7,1,),'Tasas-TC'!A:B,2,FALSE),VLOOKUP(WORKDAY.INTL(H1495,-7,1,),'Tasas-TC'!A:B,2,FALSE))+$D$1511)),$D$1513,(AVERAGE(VLOOKUP(WORKDAY.INTL(H1496,-7,1,),'Tasas-TC'!A:B,2,FALSE),VLOOKUP(WORKDAY.INTL(H1495,-7,1,),'Tasas-TC'!A:B,2,FALSE))+$D$1511)))/365)*(H1496-H1495)*L1495</f>
        <v>3515342.4657534244</v>
      </c>
      <c r="K1496" s="52">
        <f>+IF(OR(I1496="A + C",I1496="A"),$D$1508*$D$1514,0)</f>
        <v>0</v>
      </c>
      <c r="L1496" s="53">
        <f t="shared" ref="L1496:L1503" si="132">+L1495-K1496</f>
        <v>30000000</v>
      </c>
      <c r="M1496" s="103">
        <f t="shared" ref="M1496:M1503" si="133">+J1496+K1496</f>
        <v>3515342.4657534244</v>
      </c>
      <c r="N1496" s="25"/>
      <c r="O1496" s="195"/>
    </row>
    <row r="1497" spans="1:17" ht="15.95" customHeight="1" x14ac:dyDescent="0.25">
      <c r="A1497" s="121"/>
      <c r="B1497" s="23"/>
      <c r="C1497" s="60"/>
      <c r="D1497" s="77"/>
      <c r="E1497" s="78"/>
      <c r="F1497" s="483"/>
      <c r="G1497" s="484"/>
      <c r="H1497" s="51">
        <v>44774</v>
      </c>
      <c r="I1497" s="71" t="s">
        <v>13</v>
      </c>
      <c r="J1497" s="52">
        <f>(IF(AND($D$1512&lt;&gt;"",$D$1512&gt;(AVERAGE(VLOOKUP(WORKDAY.INTL(H1497,-7,1,),'Tasas-TC'!A:B,2,FALSE),VLOOKUP(WORKDAY.INTL(H1496,-7,1,),'Tasas-TC'!A:B,2,FALSE))+$D$1511)),$D$1512,IF(AND($D$1513&lt;&gt;"",$D$1513&lt;(AVERAGE(VLOOKUP(WORKDAY.INTL(H1497,-7,1,),'Tasas-TC'!A:B,2,FALSE),VLOOKUP(WORKDAY.INTL(H1496,-7,1,),'Tasas-TC'!A:B,2,FALSE))+$D$1511)),$D$1513,(AVERAGE(VLOOKUP(WORKDAY.INTL(H1497,-7,1,),'Tasas-TC'!A:B,2,FALSE),VLOOKUP(WORKDAY.INTL(H1496,-7,1,),'Tasas-TC'!A:B,2,FALSE))+$D$1511)))/365)*(H1497-H1496)*L1496</f>
        <v>4015530.8219178077</v>
      </c>
      <c r="K1497" s="52">
        <f>+IF(OR(I1497="A + C",I1497="A"),$D$1508*$D$1514,0)</f>
        <v>6000000</v>
      </c>
      <c r="L1497" s="53">
        <f t="shared" si="132"/>
        <v>24000000</v>
      </c>
      <c r="M1497" s="103">
        <f t="shared" si="133"/>
        <v>10015530.821917808</v>
      </c>
      <c r="N1497" s="25"/>
      <c r="O1497" s="195"/>
    </row>
    <row r="1498" spans="1:17" ht="15.95" customHeight="1" x14ac:dyDescent="0.25">
      <c r="A1498" s="121"/>
      <c r="B1498" s="23"/>
      <c r="C1498" s="398"/>
      <c r="D1498" s="664"/>
      <c r="E1498" s="643"/>
      <c r="F1498" s="488"/>
      <c r="G1498" s="484"/>
      <c r="H1498" s="51">
        <v>44865</v>
      </c>
      <c r="I1498" s="71" t="s">
        <v>7</v>
      </c>
      <c r="J1498" s="52">
        <f>(IF(AND($D$1512&lt;&gt;"",$D$1512&gt;(AVERAGE(VLOOKUP(WORKDAY.INTL(H1498,-7,1,),'Tasas-TC'!A:B,2,FALSE),VLOOKUP(WORKDAY.INTL(H1497,-7,1,),'Tasas-TC'!A:B,2,FALSE))+$D$1511)),$D$1512,IF(AND($D$1513&lt;&gt;"",$D$1513&lt;(AVERAGE(VLOOKUP(WORKDAY.INTL(H1498,-7,1,),'Tasas-TC'!A:B,2,FALSE),VLOOKUP(WORKDAY.INTL(H1497,-7,1,),'Tasas-TC'!A:B,2,FALSE))+$D$1511)),$D$1513,(AVERAGE(VLOOKUP(WORKDAY.INTL(H1498,-7,1,),'Tasas-TC'!A:B,2,FALSE),VLOOKUP(WORKDAY.INTL(H1497,-7,1,),'Tasas-TC'!A:B,2,FALSE))+$D$1511)))/365)*(H1498-H1497)*L1497</f>
        <v>3952890.4109589043</v>
      </c>
      <c r="K1498" s="52">
        <f>+IF(OR(I1498="A + C",I1498="A"),$D$1508*$D$1514,0)</f>
        <v>0</v>
      </c>
      <c r="L1498" s="53">
        <f t="shared" si="132"/>
        <v>24000000</v>
      </c>
      <c r="M1498" s="103">
        <f t="shared" si="133"/>
        <v>3952890.4109589043</v>
      </c>
      <c r="N1498" s="25"/>
      <c r="O1498" s="195"/>
    </row>
    <row r="1499" spans="1:17" ht="15.95" customHeight="1" x14ac:dyDescent="0.25">
      <c r="A1499" s="121"/>
      <c r="B1499" s="32"/>
      <c r="C1499" s="85"/>
      <c r="D1499" s="25" t="str">
        <f>+B1486</f>
        <v>José Llenes II</v>
      </c>
      <c r="E1499" s="24"/>
      <c r="F1499" s="483"/>
      <c r="G1499" s="484">
        <f>J1488</f>
        <v>0</v>
      </c>
      <c r="H1499" s="51">
        <v>44957</v>
      </c>
      <c r="I1499" s="71" t="s">
        <v>13</v>
      </c>
      <c r="J1499" s="52">
        <f>(IF(AND($D$1512&lt;&gt;"",$D$1512&gt;(AVERAGE(VLOOKUP(WORKDAY.INTL(H1499,-7,1,),'Tasas-TC'!A:B,2,FALSE),VLOOKUP(WORKDAY.INTL(H1498,-7,1,),'Tasas-TC'!A:B,2,FALSE))+$D$1511)),$D$1512,IF(AND($D$1513&lt;&gt;"",$D$1513&lt;(AVERAGE(VLOOKUP(WORKDAY.INTL(H1499,-7,1,),'Tasas-TC'!A:B,2,FALSE),VLOOKUP(WORKDAY.INTL(H1498,-7,1,),'Tasas-TC'!A:B,2,FALSE))+$D$1511)),$D$1513,(AVERAGE(VLOOKUP(WORKDAY.INTL(H1499,-7,1,),'Tasas-TC'!A:B,2,FALSE),VLOOKUP(WORKDAY.INTL(H1498,-7,1,),'Tasas-TC'!A:B,2,FALSE))+$D$1511)))/365)*(H1499-H1498)*L1498</f>
        <v>4546438.3561643846</v>
      </c>
      <c r="K1499" s="52">
        <f>+IF(OR(I1499="A + C",I1499="A"),$D$1508*$D$1514,0)</f>
        <v>6000000</v>
      </c>
      <c r="L1499" s="53">
        <f t="shared" si="132"/>
        <v>18000000</v>
      </c>
      <c r="M1499" s="103">
        <f t="shared" si="133"/>
        <v>10546438.356164385</v>
      </c>
      <c r="N1499" s="25"/>
      <c r="O1499" s="197">
        <f>+M1609</f>
        <v>-20000000</v>
      </c>
      <c r="P1499" s="197">
        <f>-M1609</f>
        <v>20000000</v>
      </c>
      <c r="Q1499" s="197"/>
    </row>
    <row r="1500" spans="1:17" ht="15.95" customHeight="1" x14ac:dyDescent="0.25">
      <c r="A1500" s="121"/>
      <c r="B1500" s="23"/>
      <c r="E1500" s="36"/>
      <c r="F1500" s="483"/>
      <c r="G1500" s="484"/>
      <c r="H1500" s="51">
        <v>45048</v>
      </c>
      <c r="I1500" s="71" t="s">
        <v>7</v>
      </c>
      <c r="J1500" s="52">
        <f>(IF(AND($D$1512&lt;&gt;"",$D$1512&gt;(AVERAGE(VLOOKUP(WORKDAY.INTL(H1500,-7,1,),'Tasas-TC'!A:B,2,FALSE),VLOOKUP(WORKDAY.INTL(H1499,-7,1,),'Tasas-TC'!A:B,2,FALSE))+$D$1511)),$D$1512,IF(AND($D$1513&lt;&gt;"",$D$1513&lt;(AVERAGE(VLOOKUP(WORKDAY.INTL(H1500,-7,1,),'Tasas-TC'!A:B,2,FALSE),VLOOKUP(WORKDAY.INTL(H1499,-7,1,),'Tasas-TC'!A:B,2,FALSE))+$D$1511)),$D$1513,(AVERAGE(VLOOKUP(WORKDAY.INTL(H1500,-7,1,),'Tasas-TC'!A:B,2,FALSE),VLOOKUP(WORKDAY.INTL(H1499,-7,1,),'Tasas-TC'!A:B,2,FALSE))+$D$1511)))/365)*(H1500-H1499)*L1499</f>
        <v>3461116.4383561639</v>
      </c>
      <c r="K1500" s="52">
        <f>+IF(OR(I1500="A + C",I1500="A"),$D$1508*$D$1514,0)</f>
        <v>0</v>
      </c>
      <c r="L1500" s="53">
        <f t="shared" si="132"/>
        <v>18000000</v>
      </c>
      <c r="M1500" s="103">
        <f t="shared" si="133"/>
        <v>3461116.4383561639</v>
      </c>
      <c r="N1500" s="25"/>
      <c r="O1500" s="197">
        <f t="shared" ref="O1500:O1521" si="134">+M1610+O1499</f>
        <v>-18455781.250000015</v>
      </c>
      <c r="P1500" s="197">
        <f t="shared" ref="P1500:P1521" si="135">+(M1610/(1+$J$1649)^((H1610-$H$1609)/365))/$P$1499</f>
        <v>7.721093749999923E-2</v>
      </c>
      <c r="Q1500" s="197">
        <f t="shared" ref="Q1500:Q1521" si="136">+P1500*((H1610-$H$1609)/365)</f>
        <v>6.5576412671232223E-3</v>
      </c>
    </row>
    <row r="1501" spans="1:17" ht="15.95" customHeight="1" x14ac:dyDescent="0.25">
      <c r="A1501" s="121"/>
      <c r="B1501" s="23"/>
      <c r="E1501" s="36"/>
      <c r="F1501" s="483"/>
      <c r="G1501" s="484"/>
      <c r="H1501" s="51">
        <v>45138</v>
      </c>
      <c r="I1501" s="71" t="s">
        <v>13</v>
      </c>
      <c r="J1501" s="52">
        <f>(IF(AND($D$1512&lt;&gt;"",$D$1512&gt;(AVERAGE(VLOOKUP(WORKDAY.INTL(H1501,-7,1,),'Tasas-TC'!A:B,2,FALSE),VLOOKUP(WORKDAY.INTL(H1500,-7,1,),'Tasas-TC'!A:B,2,FALSE))+$D$1511)),$D$1512,IF(AND($D$1513&lt;&gt;"",$D$1513&lt;(AVERAGE(VLOOKUP(WORKDAY.INTL(H1501,-7,1,),'Tasas-TC'!A:B,2,FALSE),VLOOKUP(WORKDAY.INTL(H1500,-7,1,),'Tasas-TC'!A:B,2,FALSE))+$D$1511)),$D$1513,(AVERAGE(VLOOKUP(WORKDAY.INTL(H1501,-7,1,),'Tasas-TC'!A:B,2,FALSE),VLOOKUP(WORKDAY.INTL(H1500,-7,1,),'Tasas-TC'!A:B,2,FALSE))+$D$1511)))/365)*(H1501-H1500)*L1500</f>
        <v>3914075.3424657537</v>
      </c>
      <c r="K1501" s="52">
        <f>+IF(OR(I1501="A + C",I1501="A"),$D$1508*$D$1515,0)</f>
        <v>9000000</v>
      </c>
      <c r="L1501" s="53">
        <f t="shared" si="132"/>
        <v>9000000</v>
      </c>
      <c r="M1501" s="103">
        <f t="shared" si="133"/>
        <v>12914075.342465755</v>
      </c>
      <c r="N1501" s="25"/>
      <c r="O1501" s="197">
        <f t="shared" si="134"/>
        <v>-17018035.300925955</v>
      </c>
      <c r="P1501" s="197">
        <f t="shared" si="135"/>
        <v>7.1887297453702967E-2</v>
      </c>
      <c r="Q1501" s="197">
        <f t="shared" si="136"/>
        <v>1.2210992992135846E-2</v>
      </c>
    </row>
    <row r="1502" spans="1:17" ht="15.95" customHeight="1" x14ac:dyDescent="0.25">
      <c r="A1502" s="121"/>
      <c r="B1502" s="23"/>
      <c r="C1502" s="638" t="s">
        <v>36</v>
      </c>
      <c r="D1502" s="640"/>
      <c r="E1502" s="36"/>
      <c r="F1502" s="483"/>
      <c r="G1502" s="484"/>
      <c r="H1502" s="51">
        <v>45230</v>
      </c>
      <c r="I1502" s="71" t="s">
        <v>7</v>
      </c>
      <c r="J1502" s="52">
        <f>(IF(AND($D$1512&lt;&gt;"",$D$1512&gt;(AVERAGE(VLOOKUP(WORKDAY.INTL(H1502,-7,1,),'Tasas-TC'!A:B,2,FALSE),VLOOKUP(WORKDAY.INTL(H1501,-7,1,),'Tasas-TC'!A:B,2,FALSE))+$D$1511)),$D$1512,IF(AND($D$1513&lt;&gt;"",$D$1513&lt;(AVERAGE(VLOOKUP(WORKDAY.INTL(H1502,-7,1,),'Tasas-TC'!A:B,2,FALSE),VLOOKUP(WORKDAY.INTL(H1501,-7,1,),'Tasas-TC'!A:B,2,FALSE))+$D$1511)),$D$1513,(AVERAGE(VLOOKUP(WORKDAY.INTL(H1502,-7,1,),'Tasas-TC'!A:B,2,FALSE),VLOOKUP(WORKDAY.INTL(H1501,-7,1,),'Tasas-TC'!A:B,2,FALSE))+$D$1511)))/365)*(H1502-H1501)*L1501</f>
        <v>2632869.8630136983</v>
      </c>
      <c r="K1502" s="52">
        <f>+IF(OR(I1502="A + C",I1502="A"),$D$1508*$D$1514,0)</f>
        <v>0</v>
      </c>
      <c r="L1502" s="53">
        <f t="shared" si="132"/>
        <v>9000000</v>
      </c>
      <c r="M1502" s="103">
        <f t="shared" si="133"/>
        <v>2632869.8630136983</v>
      </c>
      <c r="N1502" s="25"/>
      <c r="O1502" s="197">
        <f t="shared" si="134"/>
        <v>-15751785.30092597</v>
      </c>
      <c r="P1502" s="197">
        <f t="shared" si="135"/>
        <v>6.3312499999999272E-2</v>
      </c>
      <c r="Q1502" s="197">
        <f t="shared" si="136"/>
        <v>1.5611301369862834E-2</v>
      </c>
    </row>
    <row r="1503" spans="1:17" ht="15.95" customHeight="1" x14ac:dyDescent="0.25">
      <c r="A1503" s="121"/>
      <c r="B1503" s="23"/>
      <c r="C1503" s="59"/>
      <c r="D1503" s="62"/>
      <c r="E1503" s="36"/>
      <c r="F1503" s="483"/>
      <c r="G1503" s="484"/>
      <c r="H1503" s="54">
        <v>45322</v>
      </c>
      <c r="I1503" s="104" t="s">
        <v>13</v>
      </c>
      <c r="J1503" s="105">
        <f>(IF(AND($D$1512&lt;&gt;"",$D$1512&gt;(AVERAGE(VLOOKUP(WORKDAY.INTL(H1503,-7,1,),'Tasas-TC'!A:B,2,FALSE),VLOOKUP(WORKDAY.INTL(H1502,-7,1,),'Tasas-TC'!A:B,2,FALSE))+$D$1511)),$D$1512,IF(AND($D$1513&lt;&gt;"",$D$1513&lt;(AVERAGE(VLOOKUP(WORKDAY.INTL(H1503,-7,1,),'Tasas-TC'!A:B,2,FALSE),VLOOKUP(WORKDAY.INTL(H1502,-7,1,),'Tasas-TC'!A:B,2,FALSE))+$D$1511)),$D$1513,(AVERAGE(VLOOKUP(WORKDAY.INTL(H1503,-7,1,),'Tasas-TC'!A:B,2,FALSE),VLOOKUP(WORKDAY.INTL(H1502,-7,1,),'Tasas-TC'!A:B,2,FALSE))+$D$1511)))/365)*(H1503-H1502)*L1502</f>
        <v>2841287.6712328768</v>
      </c>
      <c r="K1503" s="105">
        <f>+IF(OR(I1503="A + C",I1503="A"),$D$1508*$D$1515,0)</f>
        <v>9000000</v>
      </c>
      <c r="L1503" s="106">
        <f t="shared" si="132"/>
        <v>0</v>
      </c>
      <c r="M1503" s="107">
        <f t="shared" si="133"/>
        <v>11841287.671232877</v>
      </c>
      <c r="N1503" s="25"/>
      <c r="O1503" s="197">
        <f t="shared" si="134"/>
        <v>-14358530.092592649</v>
      </c>
      <c r="P1503" s="197">
        <f t="shared" si="135"/>
        <v>6.9662760416665997E-2</v>
      </c>
      <c r="Q1503" s="197">
        <f t="shared" si="136"/>
        <v>2.3093682220319416E-2</v>
      </c>
    </row>
    <row r="1504" spans="1:17" ht="15.95" customHeight="1" x14ac:dyDescent="0.25">
      <c r="A1504" s="121"/>
      <c r="B1504" s="23"/>
      <c r="C1504" s="59" t="s">
        <v>9</v>
      </c>
      <c r="D1504" s="98" t="s">
        <v>18</v>
      </c>
      <c r="E1504" s="36"/>
      <c r="F1504" s="483"/>
      <c r="G1504" s="484"/>
      <c r="H1504" s="35"/>
      <c r="I1504" s="272"/>
      <c r="J1504" s="109"/>
      <c r="K1504" s="109"/>
      <c r="L1504" s="109"/>
      <c r="M1504" s="109"/>
      <c r="N1504" s="25"/>
      <c r="O1504" s="197">
        <f t="shared" si="134"/>
        <v>-12844456.018518588</v>
      </c>
      <c r="P1504" s="197">
        <f t="shared" si="135"/>
        <v>7.5703703703703079E-2</v>
      </c>
      <c r="Q1504" s="197">
        <f t="shared" si="136"/>
        <v>3.1733333333333072E-2</v>
      </c>
    </row>
    <row r="1505" spans="1:17" ht="15.95" customHeight="1" x14ac:dyDescent="0.25">
      <c r="A1505" s="121"/>
      <c r="B1505" s="23"/>
      <c r="C1505" s="59" t="s">
        <v>10</v>
      </c>
      <c r="D1505" s="65">
        <v>44588</v>
      </c>
      <c r="E1505" s="36"/>
      <c r="F1505" s="483"/>
      <c r="G1505" s="484"/>
      <c r="H1505" s="656" t="s">
        <v>43</v>
      </c>
      <c r="I1505" s="656"/>
      <c r="J1505" s="92">
        <v>0</v>
      </c>
      <c r="K1505" s="109"/>
      <c r="L1505" s="109"/>
      <c r="M1505" s="109"/>
      <c r="N1505" s="25"/>
      <c r="O1505" s="197">
        <f t="shared" si="134"/>
        <v>-11420508.777006254</v>
      </c>
      <c r="P1505" s="197">
        <f t="shared" si="135"/>
        <v>7.1197362075616694E-2</v>
      </c>
      <c r="Q1505" s="197">
        <f t="shared" si="136"/>
        <v>3.5501150404828048E-2</v>
      </c>
    </row>
    <row r="1506" spans="1:17" ht="15.95" customHeight="1" x14ac:dyDescent="0.25">
      <c r="A1506" s="121"/>
      <c r="B1506" s="23"/>
      <c r="C1506" s="59" t="s">
        <v>11</v>
      </c>
      <c r="D1506" s="65">
        <v>44592</v>
      </c>
      <c r="E1506" s="41"/>
      <c r="F1506" s="480"/>
      <c r="G1506" s="484"/>
      <c r="H1506" s="35"/>
      <c r="I1506" s="272"/>
      <c r="J1506" s="109"/>
      <c r="K1506" s="109"/>
      <c r="L1506" s="109"/>
      <c r="M1506" s="109"/>
      <c r="N1506" s="25"/>
      <c r="O1506" s="197">
        <f t="shared" si="134"/>
        <v>-10026411.554784043</v>
      </c>
      <c r="P1506" s="197">
        <f t="shared" si="135"/>
        <v>6.9704861111110572E-2</v>
      </c>
      <c r="Q1506" s="197">
        <f t="shared" si="136"/>
        <v>4.0486111111110792E-2</v>
      </c>
    </row>
    <row r="1507" spans="1:17" ht="15.95" customHeight="1" x14ac:dyDescent="0.25">
      <c r="A1507" s="121"/>
      <c r="B1507" s="23"/>
      <c r="C1507" s="59" t="s">
        <v>12</v>
      </c>
      <c r="D1507" s="65">
        <v>45322</v>
      </c>
      <c r="E1507" s="36"/>
      <c r="F1507" s="480"/>
      <c r="G1507" s="484"/>
      <c r="H1507" s="638" t="s">
        <v>44</v>
      </c>
      <c r="I1507" s="639"/>
      <c r="J1507" s="639"/>
      <c r="K1507" s="639"/>
      <c r="L1507" s="639"/>
      <c r="M1507" s="640"/>
      <c r="N1507" s="25"/>
      <c r="O1507" s="197">
        <f t="shared" si="134"/>
        <v>-8611149.2091050409</v>
      </c>
      <c r="P1507" s="197">
        <f t="shared" si="135"/>
        <v>7.0763117283950114E-2</v>
      </c>
      <c r="Q1507" s="197">
        <f t="shared" si="136"/>
        <v>4.7304659225435149E-2</v>
      </c>
    </row>
    <row r="1508" spans="1:17" ht="15.95" customHeight="1" x14ac:dyDescent="0.25">
      <c r="A1508" s="121"/>
      <c r="B1508" s="23"/>
      <c r="C1508" s="59" t="s">
        <v>27</v>
      </c>
      <c r="D1508" s="66">
        <v>30000000</v>
      </c>
      <c r="E1508" s="43"/>
      <c r="F1508" s="480"/>
      <c r="G1508" s="484"/>
      <c r="H1508" s="23"/>
      <c r="I1508" s="24"/>
      <c r="J1508" s="24"/>
      <c r="K1508" s="24"/>
      <c r="L1508" s="24"/>
      <c r="M1508" s="25"/>
      <c r="N1508" s="25"/>
      <c r="O1508" s="197">
        <f t="shared" si="134"/>
        <v>-7205304.3016976425</v>
      </c>
      <c r="P1508" s="197">
        <f t="shared" si="135"/>
        <v>7.0292245370369918E-2</v>
      </c>
      <c r="Q1508" s="197">
        <f t="shared" si="136"/>
        <v>5.2767329401318792E-2</v>
      </c>
    </row>
    <row r="1509" spans="1:17" ht="15.95" customHeight="1" x14ac:dyDescent="0.25">
      <c r="A1509" s="121"/>
      <c r="B1509" s="23"/>
      <c r="C1509" s="59" t="s">
        <v>26</v>
      </c>
      <c r="D1509" s="66">
        <v>3</v>
      </c>
      <c r="E1509" s="43"/>
      <c r="F1509" s="480"/>
      <c r="G1509" s="484"/>
      <c r="H1509" s="23"/>
      <c r="I1509" s="24"/>
      <c r="J1509" s="24"/>
      <c r="K1509" s="24"/>
      <c r="L1509" s="24"/>
      <c r="M1509" s="25"/>
      <c r="N1509" s="25"/>
      <c r="O1509" s="197">
        <f t="shared" si="134"/>
        <v>-5800529.996142095</v>
      </c>
      <c r="P1509" s="197">
        <f t="shared" si="135"/>
        <v>7.0238715277777392E-2</v>
      </c>
      <c r="Q1509" s="197">
        <f t="shared" si="136"/>
        <v>5.8500190258751583E-2</v>
      </c>
    </row>
    <row r="1510" spans="1:17" ht="15.95" customHeight="1" x14ac:dyDescent="0.25">
      <c r="A1510" s="121"/>
      <c r="B1510" s="23"/>
      <c r="C1510" s="59" t="s">
        <v>19</v>
      </c>
      <c r="D1510" s="67" t="s">
        <v>20</v>
      </c>
      <c r="E1510" s="43"/>
      <c r="F1510" s="480"/>
      <c r="G1510" s="484"/>
      <c r="H1510" s="96"/>
      <c r="I1510" s="35"/>
      <c r="J1510" s="24"/>
      <c r="K1510" s="24"/>
      <c r="L1510" s="24"/>
      <c r="M1510" s="25"/>
      <c r="N1510" s="25"/>
      <c r="O1510" s="197">
        <f t="shared" si="134"/>
        <v>-4478854.6489198804</v>
      </c>
      <c r="P1510" s="197">
        <f t="shared" si="135"/>
        <v>6.608376736111074E-2</v>
      </c>
      <c r="Q1510" s="197">
        <f t="shared" si="136"/>
        <v>6.0652224838279721E-2</v>
      </c>
    </row>
    <row r="1511" spans="1:17" ht="15.95" customHeight="1" x14ac:dyDescent="0.25">
      <c r="A1511" s="121"/>
      <c r="B1511" s="23"/>
      <c r="C1511" s="59" t="s">
        <v>14</v>
      </c>
      <c r="D1511" s="68">
        <v>0.06</v>
      </c>
      <c r="E1511" s="44"/>
      <c r="F1511" s="480"/>
      <c r="G1511" s="484"/>
      <c r="H1511" s="23"/>
      <c r="I1511" s="24"/>
      <c r="J1511" s="24"/>
      <c r="K1511" s="24"/>
      <c r="L1511" s="24"/>
      <c r="M1511" s="25"/>
      <c r="N1511" s="25"/>
      <c r="O1511" s="197">
        <f t="shared" si="134"/>
        <v>-3292512.0563272955</v>
      </c>
      <c r="P1511" s="197">
        <f t="shared" si="135"/>
        <v>5.9317129629629248E-2</v>
      </c>
      <c r="Q1511" s="197">
        <f t="shared" si="136"/>
        <v>5.9317129629629248E-2</v>
      </c>
    </row>
    <row r="1512" spans="1:17" ht="15.95" customHeight="1" x14ac:dyDescent="0.25">
      <c r="A1512" s="121"/>
      <c r="B1512" s="23"/>
      <c r="C1512" s="59" t="s">
        <v>31</v>
      </c>
      <c r="D1512" s="68"/>
      <c r="E1512" s="24"/>
      <c r="F1512" s="480"/>
      <c r="G1512" s="484"/>
      <c r="H1512" s="23"/>
      <c r="I1512" s="24"/>
      <c r="J1512" s="24"/>
      <c r="K1512" s="24"/>
      <c r="L1512" s="24"/>
      <c r="M1512" s="25"/>
      <c r="N1512" s="25"/>
      <c r="O1512" s="197">
        <f t="shared" si="134"/>
        <v>-2122789.8341050805</v>
      </c>
      <c r="P1512" s="197">
        <f t="shared" si="135"/>
        <v>5.8486111111110753E-2</v>
      </c>
      <c r="Q1512" s="197">
        <f t="shared" si="136"/>
        <v>6.3773896499238578E-2</v>
      </c>
    </row>
    <row r="1513" spans="1:17" ht="15.95" customHeight="1" x14ac:dyDescent="0.25">
      <c r="A1513" s="121"/>
      <c r="B1513" s="23"/>
      <c r="C1513" s="59" t="s">
        <v>32</v>
      </c>
      <c r="D1513" s="68"/>
      <c r="E1513" s="24"/>
      <c r="F1513" s="480"/>
      <c r="G1513" s="484"/>
      <c r="H1513" s="23"/>
      <c r="I1513" s="24"/>
      <c r="J1513" s="24"/>
      <c r="K1513" s="24"/>
      <c r="L1513" s="24"/>
      <c r="M1513" s="25"/>
      <c r="N1513" s="25"/>
      <c r="O1513" s="197">
        <f t="shared" si="134"/>
        <v>-1093103.2986112614</v>
      </c>
      <c r="P1513" s="197">
        <f t="shared" si="135"/>
        <v>5.1484326774690961E-2</v>
      </c>
      <c r="Q1513" s="197">
        <f t="shared" si="136"/>
        <v>6.0229609678885042E-2</v>
      </c>
    </row>
    <row r="1514" spans="1:17" ht="15.95" customHeight="1" x14ac:dyDescent="0.25">
      <c r="A1514" s="121"/>
      <c r="B1514" s="23"/>
      <c r="C1514" s="59" t="s">
        <v>219</v>
      </c>
      <c r="D1514" s="68">
        <v>0.2</v>
      </c>
      <c r="E1514" s="24"/>
      <c r="F1514" s="480"/>
      <c r="G1514" s="484"/>
      <c r="H1514" s="23"/>
      <c r="I1514" s="24"/>
      <c r="J1514" s="24"/>
      <c r="K1514" s="24"/>
      <c r="L1514" s="24"/>
      <c r="M1514" s="25"/>
      <c r="N1514" s="25"/>
      <c r="O1514" s="197">
        <f t="shared" si="134"/>
        <v>-125567.61188287451</v>
      </c>
      <c r="P1514" s="197">
        <f t="shared" si="135"/>
        <v>4.8376784336419343E-2</v>
      </c>
      <c r="Q1514" s="197">
        <f t="shared" si="136"/>
        <v>6.0437845636732108E-2</v>
      </c>
    </row>
    <row r="1515" spans="1:17" ht="15.95" customHeight="1" x14ac:dyDescent="0.25">
      <c r="A1515" s="121"/>
      <c r="B1515" s="23"/>
      <c r="C1515" s="60" t="s">
        <v>363</v>
      </c>
      <c r="D1515" s="110">
        <v>0.3</v>
      </c>
      <c r="E1515" s="24"/>
      <c r="F1515" s="480"/>
      <c r="G1515" s="485"/>
      <c r="H1515" s="23"/>
      <c r="I1515" s="24"/>
      <c r="J1515" s="24"/>
      <c r="K1515" s="24"/>
      <c r="L1515" s="24"/>
      <c r="M1515" s="25"/>
      <c r="N1515" s="25"/>
      <c r="O1515" s="197">
        <f t="shared" si="134"/>
        <v>834705.82561711816</v>
      </c>
      <c r="P1515" s="197">
        <f t="shared" si="135"/>
        <v>4.8013671874999636E-2</v>
      </c>
      <c r="Q1515" s="197">
        <f t="shared" si="136"/>
        <v>6.432516588184882E-2</v>
      </c>
    </row>
    <row r="1516" spans="1:17" ht="15.95" customHeight="1" x14ac:dyDescent="0.25">
      <c r="A1516" s="121"/>
      <c r="B1516" s="23"/>
      <c r="C1516" s="24"/>
      <c r="D1516" s="24"/>
      <c r="E1516" s="24"/>
      <c r="F1516" s="480"/>
      <c r="G1516" s="485"/>
      <c r="H1516" s="23"/>
      <c r="I1516" s="24"/>
      <c r="J1516" s="24"/>
      <c r="K1516" s="24"/>
      <c r="L1516" s="24"/>
      <c r="M1516" s="25"/>
      <c r="N1516" s="25"/>
      <c r="O1516" s="197">
        <f t="shared" si="134"/>
        <v>1702452.7391973566</v>
      </c>
      <c r="P1516" s="197">
        <f t="shared" si="135"/>
        <v>4.3387345679011917E-2</v>
      </c>
      <c r="Q1516" s="197">
        <f t="shared" si="136"/>
        <v>6.1455500591915513E-2</v>
      </c>
    </row>
    <row r="1517" spans="1:17" ht="15.95" customHeight="1" x14ac:dyDescent="0.25">
      <c r="A1517" s="121"/>
      <c r="B1517" s="23"/>
      <c r="C1517" s="24"/>
      <c r="D1517" s="24"/>
      <c r="E1517" s="24"/>
      <c r="F1517" s="480"/>
      <c r="G1517" s="485"/>
      <c r="H1517" s="23"/>
      <c r="I1517" s="24"/>
      <c r="J1517" s="24"/>
      <c r="K1517" s="24"/>
      <c r="L1517" s="24"/>
      <c r="M1517" s="25"/>
      <c r="N1517" s="25"/>
      <c r="O1517" s="197">
        <f t="shared" si="134"/>
        <v>2586366.7052467321</v>
      </c>
      <c r="P1517" s="197">
        <f t="shared" si="135"/>
        <v>4.4195698302468771E-2</v>
      </c>
      <c r="Q1517" s="197">
        <f t="shared" si="136"/>
        <v>6.635408950617229E-2</v>
      </c>
    </row>
    <row r="1518" spans="1:17" ht="15.95" customHeight="1" x14ac:dyDescent="0.25">
      <c r="A1518" s="121"/>
      <c r="B1518" s="23"/>
      <c r="C1518" s="24"/>
      <c r="D1518" s="24"/>
      <c r="E1518" s="24"/>
      <c r="F1518" s="480"/>
      <c r="G1518" s="485"/>
      <c r="H1518" s="23"/>
      <c r="I1518" s="24"/>
      <c r="J1518" s="24"/>
      <c r="K1518" s="24"/>
      <c r="L1518" s="24"/>
      <c r="M1518" s="25"/>
      <c r="N1518" s="25"/>
      <c r="O1518" s="197">
        <f t="shared" si="134"/>
        <v>3463033.3719133921</v>
      </c>
      <c r="P1518" s="197">
        <f t="shared" si="135"/>
        <v>4.3833333333333009E-2</v>
      </c>
      <c r="Q1518" s="197">
        <f t="shared" si="136"/>
        <v>6.9652968036529164E-2</v>
      </c>
    </row>
    <row r="1519" spans="1:17" ht="15.95" customHeight="1" x14ac:dyDescent="0.25">
      <c r="A1519" s="121"/>
      <c r="B1519" s="23"/>
      <c r="C1519" s="24"/>
      <c r="D1519" s="24"/>
      <c r="E1519" s="24"/>
      <c r="F1519" s="480"/>
      <c r="G1519" s="485"/>
      <c r="H1519" s="23"/>
      <c r="I1519" s="24"/>
      <c r="J1519" s="24"/>
      <c r="K1519" s="24"/>
      <c r="L1519" s="24"/>
      <c r="M1519" s="25"/>
      <c r="N1519" s="25"/>
      <c r="O1519" s="197">
        <f t="shared" si="134"/>
        <v>4293428.8194442494</v>
      </c>
      <c r="P1519" s="197">
        <f t="shared" si="135"/>
        <v>4.151977237654287E-2</v>
      </c>
      <c r="Q1519" s="197">
        <f t="shared" si="136"/>
        <v>6.9275455828259197E-2</v>
      </c>
    </row>
    <row r="1520" spans="1:17" ht="15.95" customHeight="1" x14ac:dyDescent="0.25">
      <c r="A1520" s="121"/>
      <c r="B1520" s="23"/>
      <c r="C1520" s="24"/>
      <c r="D1520" s="24"/>
      <c r="E1520" s="24"/>
      <c r="F1520" s="480"/>
      <c r="G1520" s="485"/>
      <c r="H1520" s="26"/>
      <c r="I1520" s="27"/>
      <c r="J1520" s="27"/>
      <c r="K1520" s="27"/>
      <c r="L1520" s="27"/>
      <c r="M1520" s="28"/>
      <c r="N1520" s="25"/>
      <c r="O1520" s="197">
        <f t="shared" si="134"/>
        <v>5125496.7206788119</v>
      </c>
      <c r="P1520" s="197">
        <f t="shared" si="135"/>
        <v>4.1603395061728117E-2</v>
      </c>
      <c r="Q1520" s="197">
        <f t="shared" si="136"/>
        <v>7.2948418738372586E-2</v>
      </c>
    </row>
    <row r="1521" spans="1:17" ht="15.95" customHeight="1" x14ac:dyDescent="0.25">
      <c r="A1521" s="121"/>
      <c r="B1521" s="23"/>
      <c r="C1521" s="24"/>
      <c r="D1521" s="24"/>
      <c r="E1521" s="24"/>
      <c r="F1521" s="480"/>
      <c r="G1521" s="485"/>
      <c r="H1521" s="24"/>
      <c r="I1521" s="24"/>
      <c r="J1521" s="24"/>
      <c r="K1521" s="24"/>
      <c r="L1521" s="24"/>
      <c r="M1521" s="24"/>
      <c r="N1521" s="25"/>
      <c r="O1521" s="197">
        <f t="shared" si="134"/>
        <v>5940282.600308436</v>
      </c>
      <c r="P1521" s="197">
        <f t="shared" si="135"/>
        <v>4.0739293981481219E-2</v>
      </c>
      <c r="Q1521" s="197">
        <f t="shared" si="136"/>
        <v>7.4893332223490136E-2</v>
      </c>
    </row>
    <row r="1522" spans="1:17" ht="15.95" customHeight="1" x14ac:dyDescent="0.25">
      <c r="A1522" s="122" t="s">
        <v>127</v>
      </c>
      <c r="B1522" s="661" t="s">
        <v>162</v>
      </c>
      <c r="C1522" s="662"/>
      <c r="D1522" s="662"/>
      <c r="E1522" s="662"/>
      <c r="F1522" s="662"/>
      <c r="G1522" s="662"/>
      <c r="H1522" s="662"/>
      <c r="I1522" s="662"/>
      <c r="J1522" s="662"/>
      <c r="K1522" s="662"/>
      <c r="L1522" s="662"/>
      <c r="M1522" s="662"/>
      <c r="N1522" s="663"/>
      <c r="O1522" s="197" t="e">
        <f>+M1636+#REF!</f>
        <v>#REF!</v>
      </c>
      <c r="P1522" s="197">
        <f t="shared" ref="P1522:P1531" si="137">+(M1636/(1+$J$1649)^((H1636-$H$1609)/365))/$P$1499</f>
        <v>3.5582561728394857E-2</v>
      </c>
      <c r="Q1522" s="197">
        <f t="shared" ref="Q1522:Q1531" si="138">+P1522*((H1636-$H$1609)/365)</f>
        <v>8.0036392271266243E-2</v>
      </c>
    </row>
    <row r="1523" spans="1:17" ht="15.95" customHeight="1" x14ac:dyDescent="0.25">
      <c r="A1523" s="121"/>
      <c r="B1523" s="23"/>
      <c r="C1523" s="24"/>
      <c r="D1523" s="24"/>
      <c r="E1523" s="24"/>
      <c r="F1523" s="483"/>
      <c r="G1523" s="484"/>
      <c r="H1523" s="31"/>
      <c r="I1523" s="31"/>
      <c r="J1523" s="24"/>
      <c r="K1523" s="24"/>
      <c r="L1523" s="24"/>
      <c r="M1523" s="24"/>
      <c r="N1523" s="25"/>
      <c r="O1523" s="197" t="e">
        <f t="shared" ref="O1523:O1531" si="139">+M1637+O1522</f>
        <v>#REF!</v>
      </c>
      <c r="P1523" s="197">
        <f t="shared" si="137"/>
        <v>3.5805555555555459E-2</v>
      </c>
      <c r="Q1523" s="197">
        <f t="shared" si="138"/>
        <v>8.3677092846270701E-2</v>
      </c>
    </row>
    <row r="1524" spans="1:17" ht="15.95" customHeight="1" x14ac:dyDescent="0.25">
      <c r="A1524" s="121"/>
      <c r="B1524" s="23"/>
      <c r="C1524" s="638" t="s">
        <v>37</v>
      </c>
      <c r="D1524" s="639"/>
      <c r="E1524" s="640"/>
      <c r="F1524" s="483"/>
      <c r="G1524" s="484"/>
      <c r="H1524" s="641" t="s">
        <v>28</v>
      </c>
      <c r="I1524" s="642"/>
      <c r="J1524" s="39">
        <f t="array" ref="J1524">+$D$1542-SUMIF($H$1530:$H$1544,"&lt;"&amp;$M$4,$K$1530:$K$1544)</f>
        <v>0</v>
      </c>
      <c r="K1524" s="24"/>
      <c r="L1524" s="24"/>
      <c r="M1524" s="24"/>
      <c r="N1524" s="25"/>
      <c r="O1524" s="197" t="e">
        <f t="shared" si="139"/>
        <v>#REF!</v>
      </c>
      <c r="P1524" s="197">
        <f t="shared" si="137"/>
        <v>3.4244598765431962E-2</v>
      </c>
      <c r="Q1524" s="197">
        <f t="shared" si="138"/>
        <v>8.2749961948249295E-2</v>
      </c>
    </row>
    <row r="1525" spans="1:17" ht="15.95" customHeight="1" x14ac:dyDescent="0.25">
      <c r="A1525" s="121"/>
      <c r="B1525" s="23"/>
      <c r="C1525" s="58"/>
      <c r="D1525" s="664"/>
      <c r="E1525" s="665"/>
      <c r="F1525" s="483"/>
      <c r="G1525" s="484"/>
      <c r="H1525" s="645" t="s">
        <v>29</v>
      </c>
      <c r="I1525" s="646"/>
      <c r="J1525" s="40">
        <f>+$D$1541</f>
        <v>44709</v>
      </c>
      <c r="K1525" s="24"/>
      <c r="L1525" s="24"/>
      <c r="M1525" s="24"/>
      <c r="N1525" s="25"/>
      <c r="O1525" s="197" t="e">
        <f t="shared" si="139"/>
        <v>#REF!</v>
      </c>
      <c r="P1525" s="197">
        <f t="shared" si="137"/>
        <v>3.3826485339506107E-2</v>
      </c>
      <c r="Q1525" s="197">
        <f t="shared" si="138"/>
        <v>8.4612550999915284E-2</v>
      </c>
    </row>
    <row r="1526" spans="1:17" ht="15.95" customHeight="1" x14ac:dyDescent="0.25">
      <c r="A1526" s="121"/>
      <c r="B1526" s="23"/>
      <c r="C1526" s="59" t="s">
        <v>25</v>
      </c>
      <c r="D1526" s="658"/>
      <c r="E1526" s="659"/>
      <c r="F1526" s="483"/>
      <c r="G1526" s="484"/>
      <c r="H1526" s="649" t="s">
        <v>30</v>
      </c>
      <c r="I1526" s="650"/>
      <c r="J1526" s="42" t="str">
        <f t="array" ref="J1526">+IF(H1543&gt;=M4,MIN(IF(H1530:H1544&gt;=$M$4,H1530:H1544,"")),"vencida")</f>
        <v>vencida</v>
      </c>
      <c r="K1526" s="24"/>
      <c r="L1526" s="24"/>
      <c r="M1526" s="24"/>
      <c r="N1526" s="25"/>
      <c r="O1526" s="197" t="e">
        <f t="shared" si="139"/>
        <v>#REF!</v>
      </c>
      <c r="P1526" s="197">
        <f t="shared" si="137"/>
        <v>3.2962384259259216E-2</v>
      </c>
      <c r="Q1526" s="197">
        <f t="shared" si="138"/>
        <v>8.5250659563673156E-2</v>
      </c>
    </row>
    <row r="1527" spans="1:17" ht="15.95" customHeight="1" x14ac:dyDescent="0.25">
      <c r="A1527" s="121"/>
      <c r="B1527" s="23"/>
      <c r="C1527" s="59" t="s">
        <v>6</v>
      </c>
      <c r="D1527" s="658" t="s">
        <v>163</v>
      </c>
      <c r="E1527" s="659"/>
      <c r="F1527" s="483"/>
      <c r="G1527" s="484"/>
      <c r="H1527" s="24"/>
      <c r="I1527" s="24"/>
      <c r="J1527" s="24"/>
      <c r="K1527" s="24"/>
      <c r="L1527" s="24"/>
      <c r="M1527" s="24"/>
      <c r="N1527" s="25"/>
      <c r="O1527" s="197" t="e">
        <f t="shared" si="139"/>
        <v>#REF!</v>
      </c>
      <c r="P1527" s="197">
        <f t="shared" si="137"/>
        <v>3.1958912037036991E-2</v>
      </c>
      <c r="Q1527" s="197">
        <f t="shared" si="138"/>
        <v>8.528213787417542E-2</v>
      </c>
    </row>
    <row r="1528" spans="1:17" ht="15.95" customHeight="1" x14ac:dyDescent="0.25">
      <c r="A1528" s="121"/>
      <c r="B1528" s="23"/>
      <c r="C1528" s="59" t="s">
        <v>8</v>
      </c>
      <c r="D1528" s="658" t="s">
        <v>17</v>
      </c>
      <c r="E1528" s="659"/>
      <c r="F1528" s="483"/>
      <c r="G1528" s="484"/>
      <c r="H1528" s="651" t="s">
        <v>41</v>
      </c>
      <c r="I1528" s="652"/>
      <c r="J1528" s="652"/>
      <c r="K1528" s="652"/>
      <c r="L1528" s="653"/>
      <c r="M1528" s="24"/>
      <c r="N1528" s="25"/>
      <c r="O1528" s="197" t="e">
        <f t="shared" si="139"/>
        <v>#REF!</v>
      </c>
      <c r="P1528" s="197">
        <f t="shared" si="137"/>
        <v>3.1457175925925979E-2</v>
      </c>
      <c r="Q1528" s="197">
        <f t="shared" si="138"/>
        <v>8.6787331938102633E-2</v>
      </c>
    </row>
    <row r="1529" spans="1:17" ht="15.95" customHeight="1" x14ac:dyDescent="0.25">
      <c r="A1529" s="121"/>
      <c r="B1529" s="23"/>
      <c r="C1529" s="59" t="s">
        <v>33</v>
      </c>
      <c r="D1529" s="73" t="s">
        <v>309</v>
      </c>
      <c r="E1529" s="273">
        <v>1</v>
      </c>
      <c r="F1529" s="483">
        <f>+E1529*J1524</f>
        <v>0</v>
      </c>
      <c r="G1529" s="484"/>
      <c r="H1529" s="81" t="s">
        <v>0</v>
      </c>
      <c r="I1529" s="82" t="s">
        <v>2</v>
      </c>
      <c r="J1529" s="82" t="s">
        <v>3</v>
      </c>
      <c r="K1529" s="82" t="s">
        <v>4</v>
      </c>
      <c r="L1529" s="83" t="s">
        <v>5</v>
      </c>
      <c r="M1529" s="82" t="s">
        <v>44</v>
      </c>
      <c r="N1529" s="25"/>
      <c r="O1529" s="197" t="e">
        <f t="shared" si="139"/>
        <v>#REF!</v>
      </c>
      <c r="P1529" s="197">
        <f t="shared" si="137"/>
        <v>3.0119212962962914E-2</v>
      </c>
      <c r="Q1529" s="197">
        <f t="shared" si="138"/>
        <v>8.5406535388127702E-2</v>
      </c>
    </row>
    <row r="1530" spans="1:17" ht="15.95" customHeight="1" x14ac:dyDescent="0.25">
      <c r="A1530" s="121"/>
      <c r="B1530" s="23"/>
      <c r="C1530" s="59" t="s">
        <v>34</v>
      </c>
      <c r="D1530" s="658" t="s">
        <v>48</v>
      </c>
      <c r="E1530" s="659"/>
      <c r="F1530" s="483"/>
      <c r="G1530" s="484"/>
      <c r="H1530" s="45"/>
      <c r="I1530" s="46"/>
      <c r="J1530" s="46"/>
      <c r="K1530" s="46"/>
      <c r="L1530" s="47"/>
      <c r="M1530" s="23"/>
      <c r="N1530" s="25"/>
      <c r="O1530" s="197" t="e">
        <f t="shared" si="139"/>
        <v>#REF!</v>
      </c>
      <c r="P1530" s="197">
        <f t="shared" si="137"/>
        <v>2.950597993827166E-2</v>
      </c>
      <c r="Q1530" s="197">
        <f t="shared" si="138"/>
        <v>8.6173629079993402E-2</v>
      </c>
    </row>
    <row r="1531" spans="1:17" ht="15.95" customHeight="1" x14ac:dyDescent="0.25">
      <c r="A1531" s="121"/>
      <c r="B1531" s="23"/>
      <c r="C1531" s="79" t="s">
        <v>38</v>
      </c>
      <c r="D1531" s="75"/>
      <c r="E1531" s="76"/>
      <c r="F1531" s="483"/>
      <c r="G1531" s="484"/>
      <c r="H1531" s="48">
        <f>+$D$1540</f>
        <v>43613</v>
      </c>
      <c r="I1531" s="70"/>
      <c r="J1531" s="49"/>
      <c r="K1531" s="49"/>
      <c r="L1531" s="50">
        <f>+D1542</f>
        <v>10000000</v>
      </c>
      <c r="M1531" s="93">
        <f>-L1531</f>
        <v>-10000000</v>
      </c>
      <c r="N1531" s="25"/>
      <c r="O1531" s="197" t="e">
        <f t="shared" si="139"/>
        <v>#REF!</v>
      </c>
      <c r="P1531" s="197">
        <f t="shared" si="137"/>
        <v>2.8669753086419857E-2</v>
      </c>
      <c r="Q1531" s="197">
        <f t="shared" si="138"/>
        <v>8.6244901065449311E-2</v>
      </c>
    </row>
    <row r="1532" spans="1:17" ht="15.95" customHeight="1" x14ac:dyDescent="0.25">
      <c r="A1532" s="121"/>
      <c r="B1532" s="23"/>
      <c r="C1532" s="59"/>
      <c r="D1532" s="73"/>
      <c r="E1532" s="74"/>
      <c r="F1532" s="483"/>
      <c r="G1532" s="484"/>
      <c r="H1532" s="51">
        <f>IF(DAY(H1531)=DAY($H$1531),IF(WEEKDAY(EDATE(H1531,$D$1543),3)&lt;5,EDATE(H1531,$D$1543),WORKDAY(EDATE(H1531,$D$1543),1)),IF(WEEKDAY(EDATE($H$1531,$D$1543*COUNT($H$1531:H1531)),3)&lt;5,EDATE($H$1531,$D$1543*COUNT($H$1531:H1531)),WORKDAY(EDATE($H$1531,$D$1543*COUNT($H$1531:H1531)),1)))</f>
        <v>43705</v>
      </c>
      <c r="I1532" s="71" t="s">
        <v>7</v>
      </c>
      <c r="J1532" s="52">
        <v>1607604.1666666665</v>
      </c>
      <c r="K1532" s="52">
        <f t="shared" ref="K1532:K1543" si="140">+IF(OR(I1532="A + C",I1532="A"),$D$1542*$D$1548,0)</f>
        <v>0</v>
      </c>
      <c r="L1532" s="53">
        <f t="shared" ref="L1532:L1543" si="141">+L1531-K1532</f>
        <v>10000000</v>
      </c>
      <c r="M1532" s="94">
        <f t="shared" ref="M1532:M1543" si="142">+J1532+K1532</f>
        <v>1607604.1666666665</v>
      </c>
      <c r="N1532" s="25"/>
      <c r="O1532" s="195"/>
    </row>
    <row r="1533" spans="1:17" ht="15.95" customHeight="1" x14ac:dyDescent="0.25">
      <c r="A1533" s="121"/>
      <c r="B1533" s="23"/>
      <c r="C1533" s="60"/>
      <c r="D1533" s="77"/>
      <c r="E1533" s="78"/>
      <c r="F1533" s="483"/>
      <c r="G1533" s="484"/>
      <c r="H1533" s="51">
        <f>IF(DAY(H1532)=DAY($H$1531),IF(WEEKDAY(EDATE(H1532,$D$1543),3)&lt;5,EDATE(H1532,$D$1543),WORKDAY(EDATE(H1532,$D$1543),1)),IF(WEEKDAY(EDATE($H$1531,$D$1543*COUNT($H$1531:H1532)),3)&lt;5,EDATE($H$1531,$D$1543*COUNT($H$1531:H1532)),WORKDAY(EDATE($H$1531,$D$1543*COUNT($H$1531:H1532)),1)))</f>
        <v>43797</v>
      </c>
      <c r="I1533" s="71" t="s">
        <v>7</v>
      </c>
      <c r="J1533" s="52">
        <v>1523749.9999999998</v>
      </c>
      <c r="K1533" s="52">
        <f t="shared" si="140"/>
        <v>0</v>
      </c>
      <c r="L1533" s="53">
        <f t="shared" si="141"/>
        <v>10000000</v>
      </c>
      <c r="M1533" s="94">
        <f t="shared" si="142"/>
        <v>1523749.9999999998</v>
      </c>
      <c r="N1533" s="25"/>
      <c r="O1533" s="195"/>
    </row>
    <row r="1534" spans="1:17" ht="15.95" customHeight="1" x14ac:dyDescent="0.25">
      <c r="A1534" s="121"/>
      <c r="B1534" s="23"/>
      <c r="C1534" s="60"/>
      <c r="D1534" s="55" t="str">
        <f>+B1522</f>
        <v>La Barranca I</v>
      </c>
      <c r="E1534" s="64"/>
      <c r="F1534" s="483"/>
      <c r="G1534" s="484">
        <f>+J1524</f>
        <v>0</v>
      </c>
      <c r="H1534" s="51">
        <f>IF(DAY(H1533)=DAY($H$1531),IF(WEEKDAY(EDATE(H1533,$D$1543),3)&lt;5,EDATE(H1533,$D$1543),WORKDAY(EDATE(H1533,$D$1543),1)),IF(WEEKDAY(EDATE($H$1531,$D$1543*COUNT($H$1531:H1533)),3)&lt;5,EDATE($H$1531,$D$1543*COUNT($H$1531:H1533)),WORKDAY(EDATE($H$1531,$D$1543*COUNT($H$1531:H1533)),1)))</f>
        <v>43889</v>
      </c>
      <c r="I1534" s="71" t="s">
        <v>13</v>
      </c>
      <c r="J1534" s="52">
        <v>1211493.0555555555</v>
      </c>
      <c r="K1534" s="52">
        <f t="shared" si="140"/>
        <v>1000000</v>
      </c>
      <c r="L1534" s="53">
        <f t="shared" si="141"/>
        <v>9000000</v>
      </c>
      <c r="M1534" s="94">
        <f t="shared" si="142"/>
        <v>2211493.0555555555</v>
      </c>
      <c r="N1534" s="25"/>
      <c r="O1534" s="195"/>
    </row>
    <row r="1535" spans="1:17" ht="15.95" customHeight="1" x14ac:dyDescent="0.25">
      <c r="A1535" s="121"/>
      <c r="B1535" s="32"/>
      <c r="D1535" s="644"/>
      <c r="E1535" s="660"/>
      <c r="F1535" s="483"/>
      <c r="G1535" s="484"/>
      <c r="H1535" s="51">
        <f>IF(DAY(H1534)=DAY($H$1531),IF(WEEKDAY(EDATE(H1534,$D$1543),3)&lt;5,EDATE(H1534,$D$1543),WORKDAY(EDATE(H1534,$D$1543),1)),IF(WEEKDAY(EDATE($H$1531,$D$1543*COUNT($H$1531:H1534)),3)&lt;5,EDATE($H$1531,$D$1543*COUNT($H$1531:H1534)),WORKDAY(EDATE($H$1531,$D$1543*COUNT($H$1531:H1534)),1)))</f>
        <v>43979</v>
      </c>
      <c r="I1535" s="71" t="s">
        <v>13</v>
      </c>
      <c r="J1535" s="52">
        <v>850078.125</v>
      </c>
      <c r="K1535" s="52">
        <f t="shared" si="140"/>
        <v>1000000</v>
      </c>
      <c r="L1535" s="53">
        <f t="shared" si="141"/>
        <v>8000000</v>
      </c>
      <c r="M1535" s="94">
        <f t="shared" si="142"/>
        <v>1850078.125</v>
      </c>
      <c r="N1535" s="25"/>
      <c r="O1535" s="195"/>
    </row>
    <row r="1536" spans="1:17" ht="15.95" customHeight="1" x14ac:dyDescent="0.25">
      <c r="A1536" s="121"/>
      <c r="B1536" s="23"/>
      <c r="C1536" s="638" t="s">
        <v>36</v>
      </c>
      <c r="D1536" s="640"/>
      <c r="E1536" s="36"/>
      <c r="F1536" s="483"/>
      <c r="G1536" s="484"/>
      <c r="H1536" s="51">
        <f>IF(DAY(H1535)=DAY($H$1531),IF(WEEKDAY(EDATE(H1535,$D$1543),3)&lt;5,EDATE(H1535,$D$1543),WORKDAY(EDATE(H1535,$D$1543),1)),IF(WEEKDAY(EDATE($H$1531,$D$1543*COUNT($H$1531:H1535)),3)&lt;5,EDATE($H$1531,$D$1543*COUNT($H$1531:H1535)),WORKDAY(EDATE($H$1531,$D$1543*COUNT($H$1531:H1535)),1)))</f>
        <v>44071</v>
      </c>
      <c r="I1536" s="71" t="s">
        <v>13</v>
      </c>
      <c r="J1536" s="52">
        <v>697666.66666666663</v>
      </c>
      <c r="K1536" s="52">
        <f t="shared" si="140"/>
        <v>1000000</v>
      </c>
      <c r="L1536" s="53">
        <f t="shared" si="141"/>
        <v>7000000</v>
      </c>
      <c r="M1536" s="94">
        <f t="shared" si="142"/>
        <v>1697666.6666666665</v>
      </c>
      <c r="N1536" s="25"/>
      <c r="O1536" s="195"/>
    </row>
    <row r="1537" spans="1:15" ht="15.95" customHeight="1" x14ac:dyDescent="0.25">
      <c r="A1537" s="121"/>
      <c r="B1537" s="23"/>
      <c r="C1537" s="59"/>
      <c r="D1537" s="62"/>
      <c r="E1537" s="36"/>
      <c r="F1537" s="483"/>
      <c r="G1537" s="484"/>
      <c r="H1537" s="51">
        <f>IF(DAY(H1536)=DAY($H$1531),IF(WEEKDAY(EDATE(H1536,$D$1543),3)&lt;5,EDATE(H1536,$D$1543),WORKDAY(EDATE(H1536,$D$1543),1)),IF(WEEKDAY(EDATE($H$1531,$D$1543*COUNT($H$1531:H1536)),3)&lt;5,EDATE($H$1531,$D$1543*COUNT($H$1531:H1536)),WORKDAY(EDATE($H$1531,$D$1543*COUNT($H$1531:H1536)),1)))</f>
        <v>44165</v>
      </c>
      <c r="I1537" s="71" t="s">
        <v>13</v>
      </c>
      <c r="J1537" s="52">
        <v>623729.16666666663</v>
      </c>
      <c r="K1537" s="52">
        <f t="shared" si="140"/>
        <v>1000000</v>
      </c>
      <c r="L1537" s="53">
        <f t="shared" si="141"/>
        <v>6000000</v>
      </c>
      <c r="M1537" s="94">
        <f t="shared" si="142"/>
        <v>1623729.1666666665</v>
      </c>
      <c r="N1537" s="25"/>
      <c r="O1537" s="195"/>
    </row>
    <row r="1538" spans="1:15" ht="15.95" customHeight="1" x14ac:dyDescent="0.25">
      <c r="A1538" s="121"/>
      <c r="B1538" s="23"/>
      <c r="C1538" s="59" t="s">
        <v>9</v>
      </c>
      <c r="D1538" s="98" t="s">
        <v>18</v>
      </c>
      <c r="E1538" s="36"/>
      <c r="F1538" s="483"/>
      <c r="G1538" s="484"/>
      <c r="H1538" s="51">
        <f>IF(DAY(H1537)=DAY($H$1531),IF(WEEKDAY(EDATE(H1537,$D$1543),3)&lt;5,EDATE(H1537,$D$1543),WORKDAY(EDATE(H1537,$D$1543),1)),IF(WEEKDAY(EDATE($H$1531,$D$1543*COUNT($H$1531:H1537)),3)&lt;5,EDATE($H$1531,$D$1543*COUNT($H$1531:H1537)),WORKDAY(EDATE($H$1531,$D$1543*COUNT($H$1531:H1537)),1)))</f>
        <v>44256</v>
      </c>
      <c r="I1538" s="71" t="s">
        <v>13</v>
      </c>
      <c r="J1538" s="52">
        <v>517562.50000000006</v>
      </c>
      <c r="K1538" s="52">
        <f t="shared" si="140"/>
        <v>1000000</v>
      </c>
      <c r="L1538" s="53">
        <f t="shared" si="141"/>
        <v>5000000</v>
      </c>
      <c r="M1538" s="94">
        <f t="shared" si="142"/>
        <v>1517562.5</v>
      </c>
      <c r="N1538" s="25"/>
      <c r="O1538" s="195"/>
    </row>
    <row r="1539" spans="1:15" ht="15.95" customHeight="1" x14ac:dyDescent="0.25">
      <c r="A1539" s="121"/>
      <c r="B1539" s="23"/>
      <c r="C1539" s="59" t="s">
        <v>10</v>
      </c>
      <c r="D1539" s="65">
        <v>43608</v>
      </c>
      <c r="E1539" s="36"/>
      <c r="F1539" s="483"/>
      <c r="G1539" s="484"/>
      <c r="H1539" s="51">
        <f>IF(DAY(H1538)=DAY($H$1531),IF(WEEKDAY(EDATE(H1538,$D$1543),3)&lt;5,EDATE(H1538,$D$1543),WORKDAY(EDATE(H1538,$D$1543),1)),IF(WEEKDAY(EDATE($H$1531,$D$1543*COUNT($H$1531:H1538)),3)&lt;5,EDATE($H$1531,$D$1543*COUNT($H$1531:H1538)),WORKDAY(EDATE($H$1531,$D$1543*COUNT($H$1531:H1538)),1)))</f>
        <v>44344</v>
      </c>
      <c r="I1539" s="71" t="s">
        <v>13</v>
      </c>
      <c r="J1539" s="52">
        <v>417083.33333333331</v>
      </c>
      <c r="K1539" s="52">
        <f t="shared" si="140"/>
        <v>1000000</v>
      </c>
      <c r="L1539" s="53">
        <f t="shared" si="141"/>
        <v>4000000</v>
      </c>
      <c r="M1539" s="94">
        <f t="shared" si="142"/>
        <v>1417083.3333333333</v>
      </c>
      <c r="N1539" s="25"/>
      <c r="O1539" s="195"/>
    </row>
    <row r="1540" spans="1:15" ht="15.95" customHeight="1" x14ac:dyDescent="0.25">
      <c r="A1540" s="121"/>
      <c r="B1540" s="23"/>
      <c r="C1540" s="59" t="s">
        <v>11</v>
      </c>
      <c r="D1540" s="65">
        <v>43613</v>
      </c>
      <c r="E1540" s="36"/>
      <c r="F1540" s="483"/>
      <c r="G1540" s="484"/>
      <c r="H1540" s="51">
        <f>IF(DAY(H1539)=DAY($H$1531),IF(WEEKDAY(EDATE(H1539,$D$1543),3)&lt;5,EDATE(H1539,$D$1543),WORKDAY(EDATE(H1539,$D$1543),1)),IF(WEEKDAY(EDATE($H$1531,$D$1543*COUNT($H$1531:H1539)),3)&lt;5,EDATE($H$1531,$D$1543*COUNT($H$1531:H1539)),WORKDAY(EDATE($H$1531,$D$1543*COUNT($H$1531:H1539)),1)))</f>
        <v>44438</v>
      </c>
      <c r="I1540" s="71" t="s">
        <v>13</v>
      </c>
      <c r="J1540" s="52">
        <v>356416.66666666669</v>
      </c>
      <c r="K1540" s="52">
        <f t="shared" si="140"/>
        <v>1000000</v>
      </c>
      <c r="L1540" s="53">
        <f t="shared" si="141"/>
        <v>3000000</v>
      </c>
      <c r="M1540" s="94">
        <f t="shared" si="142"/>
        <v>1356416.6666666667</v>
      </c>
      <c r="N1540" s="25"/>
      <c r="O1540" s="195"/>
    </row>
    <row r="1541" spans="1:15" ht="15.95" customHeight="1" x14ac:dyDescent="0.25">
      <c r="A1541" s="121"/>
      <c r="B1541" s="23"/>
      <c r="C1541" s="59" t="s">
        <v>12</v>
      </c>
      <c r="D1541" s="65">
        <v>44709</v>
      </c>
      <c r="E1541" s="36"/>
      <c r="F1541" s="483"/>
      <c r="G1541" s="484"/>
      <c r="H1541" s="51">
        <f>IF(DAY(H1540)=DAY($H$1531),IF(WEEKDAY(EDATE(H1540,$D$1543),3)&lt;5,EDATE(H1540,$D$1543),WORKDAY(EDATE(H1540,$D$1543),1)),IF(WEEKDAY(EDATE($H$1531,$D$1543*COUNT($H$1531:H1540)),3)&lt;5,EDATE($H$1531,$D$1543*COUNT($H$1531:H1540)),WORKDAY(EDATE($H$1531,$D$1543*COUNT($H$1531:H1540)),1)))</f>
        <v>44529</v>
      </c>
      <c r="I1541" s="71" t="s">
        <v>13</v>
      </c>
      <c r="J1541" s="52">
        <v>258781.25000000003</v>
      </c>
      <c r="K1541" s="52">
        <f t="shared" si="140"/>
        <v>1000000</v>
      </c>
      <c r="L1541" s="53">
        <f t="shared" si="141"/>
        <v>2000000</v>
      </c>
      <c r="M1541" s="94">
        <f t="shared" si="142"/>
        <v>1258781.25</v>
      </c>
      <c r="N1541" s="25"/>
      <c r="O1541" s="195"/>
    </row>
    <row r="1542" spans="1:15" ht="15.95" customHeight="1" x14ac:dyDescent="0.25">
      <c r="A1542" s="121"/>
      <c r="B1542" s="23"/>
      <c r="C1542" s="59" t="s">
        <v>27</v>
      </c>
      <c r="D1542" s="66">
        <v>10000000</v>
      </c>
      <c r="E1542" s="41"/>
      <c r="F1542" s="480"/>
      <c r="G1542" s="484"/>
      <c r="H1542" s="51">
        <f>IF(DAY(H1541)=DAY($H$1531),IF(WEEKDAY(EDATE(H1541,$D$1543),3)&lt;5,EDATE(H1541,$D$1543),WORKDAY(EDATE(H1541,$D$1543),1)),IF(WEEKDAY(EDATE($H$1531,$D$1543*COUNT($H$1531:H1541)),3)&lt;5,EDATE($H$1531,$D$1543*COUNT($H$1531:H1541)),WORKDAY(EDATE($H$1531,$D$1543*COUNT($H$1531:H1541)),1)))</f>
        <v>44620</v>
      </c>
      <c r="I1542" s="71" t="s">
        <v>13</v>
      </c>
      <c r="J1542" s="52">
        <v>172520.83333333334</v>
      </c>
      <c r="K1542" s="52">
        <f t="shared" si="140"/>
        <v>1000000</v>
      </c>
      <c r="L1542" s="53">
        <f t="shared" si="141"/>
        <v>1000000</v>
      </c>
      <c r="M1542" s="94">
        <f t="shared" si="142"/>
        <v>1172520.8333333333</v>
      </c>
      <c r="N1542" s="25"/>
      <c r="O1542" s="195"/>
    </row>
    <row r="1543" spans="1:15" ht="15.95" customHeight="1" x14ac:dyDescent="0.25">
      <c r="A1543" s="121"/>
      <c r="B1543" s="23"/>
      <c r="C1543" s="59" t="s">
        <v>26</v>
      </c>
      <c r="D1543" s="66">
        <v>3</v>
      </c>
      <c r="E1543" s="36"/>
      <c r="F1543" s="480"/>
      <c r="G1543" s="484"/>
      <c r="H1543" s="51">
        <v>44709</v>
      </c>
      <c r="I1543" s="71" t="s">
        <v>13</v>
      </c>
      <c r="J1543" s="52">
        <v>86260.416666666672</v>
      </c>
      <c r="K1543" s="52">
        <f t="shared" si="140"/>
        <v>1000000</v>
      </c>
      <c r="L1543" s="53">
        <f t="shared" si="141"/>
        <v>0</v>
      </c>
      <c r="M1543" s="94">
        <f t="shared" si="142"/>
        <v>1086260.4166666667</v>
      </c>
      <c r="N1543" s="25"/>
      <c r="O1543" s="195"/>
    </row>
    <row r="1544" spans="1:15" ht="15.95" customHeight="1" x14ac:dyDescent="0.25">
      <c r="A1544" s="121"/>
      <c r="B1544" s="23"/>
      <c r="C1544" s="59" t="s">
        <v>19</v>
      </c>
      <c r="D1544" s="67" t="s">
        <v>20</v>
      </c>
      <c r="E1544" s="43"/>
      <c r="F1544" s="480"/>
      <c r="G1544" s="484"/>
      <c r="H1544" s="54"/>
      <c r="I1544" s="104"/>
      <c r="J1544" s="105"/>
      <c r="K1544" s="105"/>
      <c r="L1544" s="106"/>
      <c r="M1544" s="94"/>
      <c r="N1544" s="25"/>
      <c r="O1544" s="195"/>
    </row>
    <row r="1545" spans="1:15" ht="15.95" customHeight="1" x14ac:dyDescent="0.25">
      <c r="A1545" s="121"/>
      <c r="B1545" s="23"/>
      <c r="C1545" s="59" t="s">
        <v>14</v>
      </c>
      <c r="D1545" s="68">
        <v>0.08</v>
      </c>
      <c r="E1545" s="43"/>
      <c r="F1545" s="480"/>
      <c r="G1545" s="484"/>
      <c r="H1545" s="109"/>
      <c r="I1545" s="109"/>
      <c r="J1545" s="109"/>
      <c r="K1545" s="109"/>
      <c r="L1545" s="109"/>
      <c r="M1545" s="109"/>
      <c r="N1545" s="25"/>
      <c r="O1545" s="195"/>
    </row>
    <row r="1546" spans="1:15" ht="15.95" customHeight="1" x14ac:dyDescent="0.25">
      <c r="A1546" s="121"/>
      <c r="B1546" s="23"/>
      <c r="C1546" s="59" t="s">
        <v>31</v>
      </c>
      <c r="D1546" s="68"/>
      <c r="E1546" s="43"/>
      <c r="F1546" s="480"/>
      <c r="G1546" s="484"/>
      <c r="H1546" s="656" t="s">
        <v>43</v>
      </c>
      <c r="I1546" s="656"/>
      <c r="J1546" s="92">
        <v>0</v>
      </c>
      <c r="K1546" s="92"/>
      <c r="L1546" s="24"/>
      <c r="M1546" s="24"/>
      <c r="N1546" s="25"/>
      <c r="O1546" s="195"/>
    </row>
    <row r="1547" spans="1:15" ht="15.95" customHeight="1" x14ac:dyDescent="0.25">
      <c r="A1547" s="121"/>
      <c r="B1547" s="23"/>
      <c r="C1547" s="59" t="s">
        <v>32</v>
      </c>
      <c r="D1547" s="68"/>
      <c r="E1547" s="44"/>
      <c r="F1547" s="480"/>
      <c r="G1547" s="484"/>
      <c r="H1547" s="657"/>
      <c r="I1547" s="657"/>
      <c r="J1547" s="392"/>
      <c r="K1547" s="24"/>
      <c r="L1547" s="33"/>
      <c r="M1547" s="33"/>
      <c r="N1547" s="25"/>
      <c r="O1547" s="195"/>
    </row>
    <row r="1548" spans="1:15" ht="15.95" customHeight="1" x14ac:dyDescent="0.25">
      <c r="A1548" s="121"/>
      <c r="B1548" s="23"/>
      <c r="C1548" s="59" t="s">
        <v>80</v>
      </c>
      <c r="D1548" s="68">
        <v>0.1</v>
      </c>
      <c r="E1548" s="24"/>
      <c r="F1548" s="480"/>
      <c r="G1548" s="484"/>
      <c r="H1548" s="24"/>
      <c r="I1548" s="24"/>
      <c r="J1548" s="24"/>
      <c r="K1548" s="24"/>
      <c r="L1548" s="24"/>
      <c r="M1548" s="24"/>
      <c r="N1548" s="25"/>
      <c r="O1548" s="195"/>
    </row>
    <row r="1549" spans="1:15" ht="15.95" customHeight="1" x14ac:dyDescent="0.25">
      <c r="A1549" s="121"/>
      <c r="B1549" s="23"/>
      <c r="C1549" s="60"/>
      <c r="D1549" s="110"/>
      <c r="E1549" s="24"/>
      <c r="F1549" s="480"/>
      <c r="G1549" s="484"/>
      <c r="H1549" s="638" t="s">
        <v>44</v>
      </c>
      <c r="I1549" s="639"/>
      <c r="J1549" s="639"/>
      <c r="K1549" s="639"/>
      <c r="L1549" s="639"/>
      <c r="M1549" s="640"/>
      <c r="N1549" s="25"/>
      <c r="O1549" s="195"/>
    </row>
    <row r="1550" spans="1:15" ht="15.95" customHeight="1" x14ac:dyDescent="0.25">
      <c r="A1550" s="121"/>
      <c r="B1550" s="23"/>
      <c r="C1550" s="24"/>
      <c r="D1550" s="24"/>
      <c r="E1550" s="24"/>
      <c r="F1550" s="480"/>
      <c r="G1550" s="484"/>
      <c r="H1550" s="23"/>
      <c r="I1550" s="24"/>
      <c r="J1550" s="24"/>
      <c r="K1550" s="24"/>
      <c r="L1550" s="24"/>
      <c r="M1550" s="25"/>
      <c r="N1550" s="25"/>
      <c r="O1550" s="195"/>
    </row>
    <row r="1551" spans="1:15" ht="15.95" customHeight="1" x14ac:dyDescent="0.25">
      <c r="A1551" s="121"/>
      <c r="B1551" s="23"/>
      <c r="C1551" s="24"/>
      <c r="D1551" s="24"/>
      <c r="E1551" s="24"/>
      <c r="F1551" s="480"/>
      <c r="G1551" s="485"/>
      <c r="H1551" s="23"/>
      <c r="I1551" s="24"/>
      <c r="J1551" s="24"/>
      <c r="K1551" s="24"/>
      <c r="L1551" s="24"/>
      <c r="M1551" s="25"/>
      <c r="N1551" s="25"/>
      <c r="O1551" s="195"/>
    </row>
    <row r="1552" spans="1:15" ht="15.95" customHeight="1" x14ac:dyDescent="0.25">
      <c r="A1552" s="121"/>
      <c r="B1552" s="23"/>
      <c r="C1552" s="24"/>
      <c r="D1552" s="24"/>
      <c r="E1552" s="24"/>
      <c r="F1552" s="480"/>
      <c r="G1552" s="485"/>
      <c r="H1552" s="96"/>
      <c r="I1552" s="35"/>
      <c r="J1552" s="24"/>
      <c r="K1552" s="24"/>
      <c r="L1552" s="24"/>
      <c r="M1552" s="25"/>
      <c r="N1552" s="25"/>
      <c r="O1552" s="195"/>
    </row>
    <row r="1553" spans="1:17" ht="15.95" customHeight="1" x14ac:dyDescent="0.25">
      <c r="A1553" s="121"/>
      <c r="B1553" s="23"/>
      <c r="C1553" s="24"/>
      <c r="D1553" s="24"/>
      <c r="E1553" s="24"/>
      <c r="F1553" s="480"/>
      <c r="G1553" s="485"/>
      <c r="H1553" s="23"/>
      <c r="I1553" s="24"/>
      <c r="J1553" s="24"/>
      <c r="K1553" s="24"/>
      <c r="L1553" s="24"/>
      <c r="M1553" s="25"/>
      <c r="N1553" s="25"/>
      <c r="O1553" s="195"/>
    </row>
    <row r="1554" spans="1:17" ht="15.95" customHeight="1" x14ac:dyDescent="0.25">
      <c r="A1554" s="121"/>
      <c r="B1554" s="23"/>
      <c r="C1554" s="24"/>
      <c r="D1554" s="24"/>
      <c r="E1554" s="24"/>
      <c r="F1554" s="480"/>
      <c r="G1554" s="485"/>
      <c r="H1554" s="23"/>
      <c r="I1554" s="24"/>
      <c r="J1554" s="24"/>
      <c r="K1554" s="24"/>
      <c r="L1554" s="24"/>
      <c r="M1554" s="25"/>
      <c r="N1554" s="25"/>
      <c r="O1554" s="195"/>
    </row>
    <row r="1555" spans="1:17" ht="15.95" customHeight="1" x14ac:dyDescent="0.25">
      <c r="A1555" s="121"/>
      <c r="B1555" s="23"/>
      <c r="C1555" s="24"/>
      <c r="D1555" s="24"/>
      <c r="E1555" s="24"/>
      <c r="F1555" s="480"/>
      <c r="G1555" s="485"/>
      <c r="H1555" s="23"/>
      <c r="I1555" s="24"/>
      <c r="J1555" s="24"/>
      <c r="K1555" s="24"/>
      <c r="L1555" s="24"/>
      <c r="M1555" s="25"/>
      <c r="N1555" s="25"/>
      <c r="O1555" s="195"/>
    </row>
    <row r="1556" spans="1:17" ht="20.100000000000001" customHeight="1" x14ac:dyDescent="0.25">
      <c r="A1556" s="121"/>
      <c r="B1556" s="23"/>
      <c r="C1556" s="24"/>
      <c r="D1556" s="24"/>
      <c r="E1556" s="24"/>
      <c r="F1556" s="480"/>
      <c r="G1556" s="485"/>
      <c r="H1556" s="23"/>
      <c r="I1556" s="24"/>
      <c r="J1556" s="24"/>
      <c r="K1556" s="24"/>
      <c r="L1556" s="24"/>
      <c r="M1556" s="25"/>
      <c r="N1556" s="25"/>
      <c r="O1556" s="194" t="str">
        <f>+D1672</f>
        <v>ON Pyme CNV Garantizada</v>
      </c>
    </row>
    <row r="1557" spans="1:17" ht="15.95" customHeight="1" x14ac:dyDescent="0.25">
      <c r="A1557" s="121"/>
      <c r="B1557" s="23"/>
      <c r="C1557" s="24"/>
      <c r="D1557" s="24"/>
      <c r="E1557" s="24"/>
      <c r="F1557" s="480"/>
      <c r="G1557" s="485"/>
      <c r="H1557" s="23"/>
      <c r="I1557" s="24"/>
      <c r="J1557" s="24"/>
      <c r="K1557" s="24"/>
      <c r="L1557" s="24"/>
      <c r="M1557" s="25"/>
      <c r="N1557" s="25"/>
      <c r="O1557" s="195"/>
    </row>
    <row r="1558" spans="1:17" ht="15.95" customHeight="1" x14ac:dyDescent="0.25">
      <c r="A1558" s="121"/>
      <c r="B1558" s="23"/>
      <c r="C1558" s="24"/>
      <c r="D1558" s="24"/>
      <c r="E1558" s="24"/>
      <c r="F1558" s="480"/>
      <c r="G1558" s="485"/>
      <c r="H1558" s="23"/>
      <c r="I1558" s="24"/>
      <c r="J1558" s="24"/>
      <c r="K1558" s="24"/>
      <c r="L1558" s="24"/>
      <c r="M1558" s="25"/>
      <c r="N1558" s="25"/>
      <c r="O1558" s="194" t="str">
        <f>+IF(J1670="vencida",IF(D1672='Reporte - Oscuro'!$C$40,'Reporte - Oscuro'!$C$40&amp;" vencida",IF(D1672='Reporte - Oscuro'!$C$41,'Reporte - Oscuro'!$C$41&amp;" vencida",IF(D1672='Reporte - Oscuro'!$C$42,'Reporte - Oscuro'!$C$42&amp;" vencida",'Reporte - Oscuro'!$C$43&amp;" vencida"))),D1672&amp;" vigente")</f>
        <v>ON Pyme CNV Garantizada vencida</v>
      </c>
    </row>
    <row r="1559" spans="1:17" ht="15.95" customHeight="1" x14ac:dyDescent="0.25">
      <c r="A1559" s="121"/>
      <c r="B1559" s="23"/>
      <c r="C1559" s="24"/>
      <c r="D1559" s="24"/>
      <c r="E1559" s="24"/>
      <c r="F1559" s="480"/>
      <c r="G1559" s="485"/>
      <c r="H1559" s="23"/>
      <c r="I1559" s="24"/>
      <c r="J1559" s="24"/>
      <c r="K1559" s="24"/>
      <c r="L1559" s="24"/>
      <c r="M1559" s="25"/>
      <c r="N1559" s="25"/>
      <c r="O1559" s="195"/>
    </row>
    <row r="1560" spans="1:17" ht="15.95" customHeight="1" x14ac:dyDescent="0.25">
      <c r="A1560" s="121"/>
      <c r="B1560" s="23"/>
      <c r="C1560" s="24"/>
      <c r="D1560" s="24"/>
      <c r="E1560" s="24"/>
      <c r="F1560" s="480"/>
      <c r="G1560" s="485"/>
      <c r="H1560" s="23"/>
      <c r="I1560" s="24"/>
      <c r="J1560" s="24"/>
      <c r="K1560" s="24"/>
      <c r="L1560" s="24"/>
      <c r="M1560" s="25"/>
      <c r="N1560" s="25"/>
      <c r="O1560" s="195"/>
    </row>
    <row r="1561" spans="1:17" ht="15.95" customHeight="1" x14ac:dyDescent="0.25">
      <c r="A1561" s="121"/>
      <c r="B1561" s="23"/>
      <c r="C1561" s="24"/>
      <c r="D1561" s="24"/>
      <c r="E1561" s="24"/>
      <c r="F1561" s="480"/>
      <c r="G1561" s="485"/>
      <c r="H1561" s="23"/>
      <c r="I1561" s="24"/>
      <c r="J1561" s="24"/>
      <c r="K1561" s="24"/>
      <c r="L1561" s="24"/>
      <c r="M1561" s="25"/>
      <c r="N1561" s="25"/>
      <c r="O1561" s="195"/>
    </row>
    <row r="1562" spans="1:17" ht="15.95" customHeight="1" x14ac:dyDescent="0.25">
      <c r="A1562" s="121"/>
      <c r="B1562" s="23"/>
      <c r="C1562" s="24"/>
      <c r="D1562" s="24"/>
      <c r="E1562" s="24"/>
      <c r="F1562" s="480"/>
      <c r="G1562" s="485"/>
      <c r="H1562" s="26"/>
      <c r="I1562" s="27"/>
      <c r="J1562" s="27"/>
      <c r="K1562" s="27"/>
      <c r="L1562" s="27"/>
      <c r="M1562" s="28"/>
      <c r="N1562" s="25"/>
      <c r="O1562" s="195"/>
    </row>
    <row r="1563" spans="1:17" ht="15.95" customHeight="1" x14ac:dyDescent="0.25">
      <c r="A1563" s="121"/>
      <c r="B1563" s="26"/>
      <c r="C1563" s="27"/>
      <c r="D1563" s="27"/>
      <c r="E1563" s="27"/>
      <c r="F1563" s="481"/>
      <c r="G1563" s="486"/>
      <c r="H1563" s="27"/>
      <c r="I1563" s="27"/>
      <c r="J1563" s="27"/>
      <c r="K1563" s="27"/>
      <c r="L1563" s="27"/>
      <c r="M1563" s="27"/>
      <c r="N1563" s="28"/>
      <c r="O1563" s="197">
        <f>+M1675</f>
        <v>-40000000</v>
      </c>
      <c r="P1563" s="197">
        <f>-M1675</f>
        <v>40000000</v>
      </c>
      <c r="Q1563" s="197"/>
    </row>
    <row r="1564" spans="1:17" ht="15.95" customHeight="1" x14ac:dyDescent="0.25">
      <c r="A1564" s="121"/>
      <c r="B1564" s="635" t="s">
        <v>68</v>
      </c>
      <c r="C1564" s="636"/>
      <c r="D1564" s="636"/>
      <c r="E1564" s="636"/>
      <c r="F1564" s="636"/>
      <c r="G1564" s="636"/>
      <c r="H1564" s="636"/>
      <c r="I1564" s="636"/>
      <c r="J1564" s="636"/>
      <c r="K1564" s="636"/>
      <c r="L1564" s="636"/>
      <c r="M1564" s="636"/>
      <c r="N1564" s="637"/>
      <c r="O1564" s="197">
        <f t="shared" ref="O1564:O1571" si="143">+M1676+O1563</f>
        <v>-30500000</v>
      </c>
      <c r="P1564" s="197">
        <f t="shared" ref="P1564:P1571" si="144">+(M1676/(1+$J$1687)^((H1676-$H$1675)/365))/$P$1563</f>
        <v>0.23749999999999999</v>
      </c>
      <c r="Q1564" s="197">
        <f t="shared" ref="Q1564:Q1571" si="145">+P1564*((H1676-$H$1675)/365)</f>
        <v>5.8561643835616434E-2</v>
      </c>
    </row>
    <row r="1565" spans="1:17" ht="15.95" customHeight="1" x14ac:dyDescent="0.25">
      <c r="A1565" s="121"/>
      <c r="B1565" s="23"/>
      <c r="C1565" s="24"/>
      <c r="D1565" s="24"/>
      <c r="E1565" s="24"/>
      <c r="F1565" s="483"/>
      <c r="G1565" s="484"/>
      <c r="H1565" s="31"/>
      <c r="I1565" s="31"/>
      <c r="J1565" s="24"/>
      <c r="K1565" s="24"/>
      <c r="L1565" s="24"/>
      <c r="M1565" s="24"/>
      <c r="N1565" s="25"/>
      <c r="O1565" s="197">
        <f t="shared" si="143"/>
        <v>-21322125</v>
      </c>
      <c r="P1565" s="197">
        <f t="shared" si="144"/>
        <v>0.22944687499999999</v>
      </c>
      <c r="Q1565" s="197">
        <f t="shared" si="145"/>
        <v>0.11440912671232877</v>
      </c>
    </row>
    <row r="1566" spans="1:17" ht="15.95" customHeight="1" x14ac:dyDescent="0.25">
      <c r="A1566" s="121"/>
      <c r="B1566" s="23"/>
      <c r="C1566" s="638" t="s">
        <v>37</v>
      </c>
      <c r="D1566" s="639"/>
      <c r="E1566" s="640"/>
      <c r="F1566" s="483"/>
      <c r="G1566" s="484"/>
      <c r="H1566" s="641" t="s">
        <v>28</v>
      </c>
      <c r="I1566" s="642"/>
      <c r="J1566" s="39">
        <f>+$D$1584-SUMIF($H$1572:$H$1580,"&lt;"&amp;$M$4,$K$1572:$K$1580)</f>
        <v>0</v>
      </c>
      <c r="K1566" s="24"/>
      <c r="L1566" s="24"/>
      <c r="M1566" s="24"/>
      <c r="N1566" s="25"/>
      <c r="O1566" s="197">
        <f t="shared" si="143"/>
        <v>-12039791.666666668</v>
      </c>
      <c r="P1566" s="197">
        <f t="shared" si="144"/>
        <v>0.23205833333333331</v>
      </c>
      <c r="Q1566" s="197">
        <f t="shared" si="145"/>
        <v>0.17420269406392694</v>
      </c>
    </row>
    <row r="1567" spans="1:17" ht="15.95" customHeight="1" x14ac:dyDescent="0.25">
      <c r="A1567" s="121"/>
      <c r="B1567" s="23"/>
      <c r="C1567" s="58"/>
      <c r="D1567" s="664"/>
      <c r="E1567" s="665"/>
      <c r="F1567" s="483"/>
      <c r="G1567" s="484"/>
      <c r="H1567" s="645" t="s">
        <v>29</v>
      </c>
      <c r="I1567" s="646"/>
      <c r="J1567" s="40">
        <f>+$D$1583</f>
        <v>44193</v>
      </c>
      <c r="K1567" s="24"/>
      <c r="L1567" s="24"/>
      <c r="M1567" s="24"/>
      <c r="N1567" s="25"/>
      <c r="O1567" s="197">
        <f t="shared" si="143"/>
        <v>-3815243.0555555569</v>
      </c>
      <c r="P1567" s="197">
        <f t="shared" si="144"/>
        <v>0.20561371527777778</v>
      </c>
      <c r="Q1567" s="197">
        <f t="shared" si="145"/>
        <v>0.20561371527777778</v>
      </c>
    </row>
    <row r="1568" spans="1:17" ht="15.95" customHeight="1" x14ac:dyDescent="0.25">
      <c r="A1568" s="121"/>
      <c r="B1568" s="23"/>
      <c r="C1568" s="59" t="s">
        <v>25</v>
      </c>
      <c r="D1568" s="658"/>
      <c r="E1568" s="659"/>
      <c r="F1568" s="483"/>
      <c r="G1568" s="484"/>
      <c r="H1568" s="649" t="s">
        <v>30</v>
      </c>
      <c r="I1568" s="650"/>
      <c r="J1568" s="42" t="str">
        <f t="array" ref="J1568">+IF(H1579&gt;=M4,MIN(IF($H$1572:$H$1580&gt;$M$4,$H$1572:$H$1580,"")),"vencida")</f>
        <v>vencida</v>
      </c>
      <c r="K1568" s="24"/>
      <c r="L1568" s="24"/>
      <c r="M1568" s="24"/>
      <c r="N1568" s="25"/>
      <c r="O1568" s="197">
        <f t="shared" si="143"/>
        <v>2876840.2777777761</v>
      </c>
      <c r="P1568" s="197">
        <f t="shared" si="144"/>
        <v>0.16730208333333332</v>
      </c>
      <c r="Q1568" s="197">
        <f t="shared" si="145"/>
        <v>0.20901301369863012</v>
      </c>
    </row>
    <row r="1569" spans="1:17" ht="15.95" customHeight="1" x14ac:dyDescent="0.25">
      <c r="A1569" s="121"/>
      <c r="B1569" s="23"/>
      <c r="C1569" s="59" t="s">
        <v>6</v>
      </c>
      <c r="D1569" s="658" t="s">
        <v>69</v>
      </c>
      <c r="E1569" s="659"/>
      <c r="F1569" s="483"/>
      <c r="G1569" s="484"/>
      <c r="H1569" s="24"/>
      <c r="I1569" s="24"/>
      <c r="J1569" s="24"/>
      <c r="K1569" s="24"/>
      <c r="L1569" s="24"/>
      <c r="M1569" s="24"/>
      <c r="N1569" s="25"/>
      <c r="O1569" s="197">
        <f t="shared" si="143"/>
        <v>8852604.1666666642</v>
      </c>
      <c r="P1569" s="197">
        <f t="shared" si="144"/>
        <v>0.14939409722222222</v>
      </c>
      <c r="Q1569" s="197">
        <f t="shared" si="145"/>
        <v>0.22429579528158294</v>
      </c>
    </row>
    <row r="1570" spans="1:17" ht="15.95" customHeight="1" x14ac:dyDescent="0.25">
      <c r="A1570" s="121"/>
      <c r="B1570" s="23"/>
      <c r="C1570" s="59" t="s">
        <v>8</v>
      </c>
      <c r="D1570" s="658" t="s">
        <v>17</v>
      </c>
      <c r="E1570" s="659"/>
      <c r="F1570" s="483"/>
      <c r="G1570" s="484"/>
      <c r="H1570" s="651" t="s">
        <v>41</v>
      </c>
      <c r="I1570" s="652"/>
      <c r="J1570" s="652"/>
      <c r="K1570" s="652"/>
      <c r="L1570" s="653"/>
      <c r="M1570" s="24"/>
      <c r="N1570" s="25"/>
      <c r="O1570" s="197">
        <f t="shared" si="143"/>
        <v>14475409.72222222</v>
      </c>
      <c r="P1570" s="197">
        <f t="shared" si="144"/>
        <v>0.14057013888888889</v>
      </c>
      <c r="Q1570" s="197">
        <f t="shared" si="145"/>
        <v>0.24724939497716897</v>
      </c>
    </row>
    <row r="1571" spans="1:17" ht="15.95" customHeight="1" x14ac:dyDescent="0.25">
      <c r="A1571" s="121"/>
      <c r="B1571" s="23"/>
      <c r="C1571" s="59" t="s">
        <v>33</v>
      </c>
      <c r="D1571" s="73" t="s">
        <v>325</v>
      </c>
      <c r="E1571" s="273">
        <v>1</v>
      </c>
      <c r="F1571" s="483">
        <f>+E1571*J1566</f>
        <v>0</v>
      </c>
      <c r="G1571" s="484"/>
      <c r="H1571" s="81" t="s">
        <v>0</v>
      </c>
      <c r="I1571" s="82" t="s">
        <v>2</v>
      </c>
      <c r="J1571" s="82" t="s">
        <v>3</v>
      </c>
      <c r="K1571" s="82" t="s">
        <v>4</v>
      </c>
      <c r="L1571" s="83" t="s">
        <v>5</v>
      </c>
      <c r="M1571" s="82" t="s">
        <v>44</v>
      </c>
      <c r="N1571" s="25"/>
      <c r="O1571" s="197">
        <f t="shared" si="143"/>
        <v>27720024.305555552</v>
      </c>
      <c r="P1571" s="197">
        <f t="shared" si="144"/>
        <v>0.33111536458333335</v>
      </c>
      <c r="Q1571" s="197">
        <f t="shared" si="145"/>
        <v>0.66495222531392695</v>
      </c>
    </row>
    <row r="1572" spans="1:17" ht="15.95" customHeight="1" x14ac:dyDescent="0.25">
      <c r="A1572" s="121"/>
      <c r="B1572" s="23"/>
      <c r="C1572" s="59" t="s">
        <v>34</v>
      </c>
      <c r="D1572" s="658" t="s">
        <v>48</v>
      </c>
      <c r="E1572" s="659"/>
      <c r="F1572" s="483"/>
      <c r="G1572" s="484"/>
      <c r="H1572" s="45"/>
      <c r="I1572" s="46"/>
      <c r="J1572" s="46"/>
      <c r="K1572" s="46"/>
      <c r="L1572" s="47"/>
      <c r="M1572" s="23"/>
      <c r="N1572" s="25"/>
      <c r="O1572" s="195"/>
      <c r="P1572" s="29"/>
    </row>
    <row r="1573" spans="1:17" ht="15.95" customHeight="1" x14ac:dyDescent="0.25">
      <c r="A1573" s="121"/>
      <c r="B1573" s="23"/>
      <c r="C1573" s="79" t="s">
        <v>38</v>
      </c>
      <c r="D1573" s="75"/>
      <c r="E1573" s="76"/>
      <c r="F1573" s="483"/>
      <c r="G1573" s="484"/>
      <c r="H1573" s="48">
        <f>+$D$1582</f>
        <v>43097</v>
      </c>
      <c r="I1573" s="70"/>
      <c r="J1573" s="49"/>
      <c r="K1573" s="49"/>
      <c r="L1573" s="50">
        <f>+D1584</f>
        <v>20000000</v>
      </c>
      <c r="M1573" s="93">
        <f>-L1573</f>
        <v>-20000000</v>
      </c>
      <c r="N1573" s="25"/>
      <c r="O1573" s="195"/>
    </row>
    <row r="1574" spans="1:17" ht="15.95" customHeight="1" x14ac:dyDescent="0.25">
      <c r="A1574" s="121"/>
      <c r="B1574" s="23"/>
      <c r="C1574" s="59"/>
      <c r="D1574" s="73"/>
      <c r="E1574" s="74"/>
      <c r="F1574" s="483"/>
      <c r="G1574" s="484"/>
      <c r="H1574" s="51">
        <f>IF(DAY(H1573)=DAY($H$1573),IF(WEEKDAY(EDATE(H1573,$D$1585),3)&lt;5,EDATE(H1573,$D$1585),WORKDAY(EDATE(H1573,$D$1585),1)),IF(WEEKDAY(EDATE($H$1573,$D$1585*COUNT($H$1573:H1573)),3)&lt;5,EDATE($H$1573,$D$1585*COUNT($H$1573:H1573)),WORKDAY(EDATE($H$1573,$D$1585*COUNT($H$1573:H1573)),1)))</f>
        <v>43279</v>
      </c>
      <c r="I1574" s="71" t="s">
        <v>7</v>
      </c>
      <c r="J1574" s="52">
        <f>(IF(AND($D$1588&lt;&gt;"",$D$1588&gt;(AVERAGE(VLOOKUP(WORKDAY.INTL(H1574,-7,1,),'Tasas-TC'!A:B,2,FALSE),VLOOKUP(WORKDAY.INTL(H1573,-7,1,),'Tasas-TC'!A:B,2,FALSE))+$D$1587)),$D$1588,IF(AND($D$1589&lt;&gt;"",$D$1589&lt;(AVERAGE(VLOOKUP(WORKDAY.INTL(H1574,-7,1,),'Tasas-TC'!A:B,2,FALSE),VLOOKUP(WORKDAY.INTL(H1573,-7,1,),'Tasas-TC'!A:B,2,FALSE))+$D$1587)),$D$1589,(AVERAGE(VLOOKUP(WORKDAY.INTL(H1574,-7,1,),'Tasas-TC'!A:B,2,FALSE),VLOOKUP(WORKDAY.INTL(H1573,-7,1,),'Tasas-TC'!A:B,2,FALSE))+$D$1587)))/360)*(H1574-H1573)*L1573</f>
        <v>3437777.777777778</v>
      </c>
      <c r="K1574" s="52">
        <f t="shared" ref="K1574:K1579" si="146">+IF(OR(I1574="A + C",I1574="A"),$D$1584*$D$1590,0)</f>
        <v>0</v>
      </c>
      <c r="L1574" s="53">
        <f t="shared" ref="L1574:L1579" si="147">+L1573-K1574</f>
        <v>20000000</v>
      </c>
      <c r="M1574" s="94">
        <f t="shared" ref="M1574:M1579" si="148">+J1574+K1574</f>
        <v>3437777.777777778</v>
      </c>
      <c r="N1574" s="25"/>
      <c r="O1574" s="195"/>
      <c r="P1574" s="37"/>
    </row>
    <row r="1575" spans="1:17" ht="15.95" customHeight="1" x14ac:dyDescent="0.25">
      <c r="A1575" s="121"/>
      <c r="B1575" s="23"/>
      <c r="C1575" s="60"/>
      <c r="D1575" s="77"/>
      <c r="E1575" s="78"/>
      <c r="F1575" s="483"/>
      <c r="G1575" s="484"/>
      <c r="H1575" s="51">
        <f>IF(DAY(H1574)=DAY($H$1573),IF(WEEKDAY(EDATE(H1574,$D$1585),3)&lt;5,EDATE(H1574,$D$1585),WORKDAY(EDATE(H1574,$D$1585),1)),IF(WEEKDAY(EDATE($H$1573,$D$1585*COUNT($H$1573:H1574)),3)&lt;5,EDATE($H$1573,$D$1585*COUNT($H$1573:H1574)),WORKDAY(EDATE($H$1573,$D$1585*COUNT($H$1573:H1574)),1)))</f>
        <v>43462</v>
      </c>
      <c r="I1575" s="71" t="s">
        <v>13</v>
      </c>
      <c r="J1575" s="52">
        <f>(IF(AND($D$1588&lt;&gt;"",$D$1588&gt;(AVERAGE(VLOOKUP(WORKDAY.INTL(H1575,-7,1,),'Tasas-TC'!A:B,2,FALSE),VLOOKUP(WORKDAY.INTL(H1574,-7,1,),'Tasas-TC'!A:B,2,FALSE))+$D$1587)),$D$1588,IF(AND($D$1589&lt;&gt;"",$D$1589&lt;(AVERAGE(VLOOKUP(WORKDAY.INTL(H1575,-7,1,),'Tasas-TC'!A:B,2,FALSE),VLOOKUP(WORKDAY.INTL(H1574,-7,1,),'Tasas-TC'!A:B,2,FALSE))+$D$1587)),$D$1589,(AVERAGE(VLOOKUP(WORKDAY.INTL(H1575,-7,1,),'Tasas-TC'!A:B,2,FALSE),VLOOKUP(WORKDAY.INTL(H1574,-7,1,),'Tasas-TC'!A:B,2,FALSE))+$D$1587)))/360)*(H1575-H1574)*L1574</f>
        <v>3456666.666666667</v>
      </c>
      <c r="K1575" s="52">
        <f t="shared" si="146"/>
        <v>4000000</v>
      </c>
      <c r="L1575" s="53">
        <f t="shared" si="147"/>
        <v>16000000</v>
      </c>
      <c r="M1575" s="94">
        <f t="shared" si="148"/>
        <v>7456666.666666667</v>
      </c>
      <c r="N1575" s="25"/>
      <c r="O1575" s="195"/>
    </row>
    <row r="1576" spans="1:17" ht="15.95" customHeight="1" x14ac:dyDescent="0.25">
      <c r="A1576" s="121"/>
      <c r="B1576" s="23"/>
      <c r="C1576" s="60"/>
      <c r="D1576" s="55" t="str">
        <f>+B1564</f>
        <v>Lesko I</v>
      </c>
      <c r="E1576" s="64"/>
      <c r="F1576" s="483"/>
      <c r="G1576" s="484">
        <f>+J1566</f>
        <v>0</v>
      </c>
      <c r="H1576" s="51">
        <f>IF(DAY(H1575)=DAY($H$1573),IF(WEEKDAY(EDATE(H1575,$D$1585),3)&lt;5,EDATE(H1575,$D$1585),WORKDAY(EDATE(H1575,$D$1585),1)),IF(WEEKDAY(EDATE($H$1573,$D$1585*COUNT($H$1573:H1575)),3)&lt;5,EDATE($H$1573,$D$1585*COUNT($H$1573:H1575)),WORKDAY(EDATE($H$1573,$D$1585*COUNT($H$1573:H1575)),1)))</f>
        <v>43644</v>
      </c>
      <c r="I1576" s="71" t="s">
        <v>13</v>
      </c>
      <c r="J1576" s="52">
        <f>(IF(AND($D$1588&lt;&gt;"",$D$1588&gt;(AVERAGE(VLOOKUP(WORKDAY.INTL(H1576,-7,1,),'Tasas-TC'!A:B,2,FALSE),VLOOKUP(WORKDAY.INTL(H1575,-7,1,),'Tasas-TC'!A:B,2,FALSE))+$D$1587)),$D$1588,IF(AND($D$1589&lt;&gt;"",$D$1589&lt;(AVERAGE(VLOOKUP(WORKDAY.INTL(H1576,-7,1,),'Tasas-TC'!A:B,2,FALSE),VLOOKUP(WORKDAY.INTL(H1575,-7,1,),'Tasas-TC'!A:B,2,FALSE))+$D$1587)),$D$1589,(AVERAGE(VLOOKUP(WORKDAY.INTL(H1576,-7,1,),'Tasas-TC'!A:B,2,FALSE),VLOOKUP(WORKDAY.INTL(H1575,-7,1,),'Tasas-TC'!A:B,2,FALSE))+$D$1587)))/360)*(H1576-H1575)*L1575</f>
        <v>2750222.2222222225</v>
      </c>
      <c r="K1576" s="52">
        <f t="shared" si="146"/>
        <v>4000000</v>
      </c>
      <c r="L1576" s="53">
        <f t="shared" si="147"/>
        <v>12000000</v>
      </c>
      <c r="M1576" s="94">
        <f t="shared" si="148"/>
        <v>6750222.222222222</v>
      </c>
      <c r="N1576" s="25"/>
      <c r="O1576" s="195"/>
    </row>
    <row r="1577" spans="1:17" ht="15.95" customHeight="1" x14ac:dyDescent="0.25">
      <c r="A1577" s="121"/>
      <c r="B1577" s="32"/>
      <c r="D1577" s="644"/>
      <c r="E1577" s="660"/>
      <c r="F1577" s="483"/>
      <c r="G1577" s="484"/>
      <c r="H1577" s="51">
        <f>IF(DAY(H1576)=DAY($H$1573),IF(WEEKDAY(EDATE(H1576,$D$1585),3)&lt;5,EDATE(H1576,$D$1585),WORKDAY(EDATE(H1576,$D$1585),1)),IF(WEEKDAY(EDATE($H$1573,$D$1585*COUNT($H$1573:H1576)),3)&lt;5,EDATE($H$1573,$D$1585*COUNT($H$1573:H1576)),WORKDAY(EDATE($H$1573,$D$1585*COUNT($H$1573:H1576)),1)))</f>
        <v>43829</v>
      </c>
      <c r="I1577" s="71" t="s">
        <v>13</v>
      </c>
      <c r="J1577" s="52">
        <f>(IF(AND($D$1588&lt;&gt;"",$D$1588&gt;(AVERAGE(VLOOKUP(WORKDAY.INTL(H1577,-7,1,),'Tasas-TC'!A:B,2,FALSE),VLOOKUP(WORKDAY.INTL(H1576,-7,1,),'Tasas-TC'!A:B,2,FALSE))+$D$1587)),$D$1588,IF(AND($D$1589&lt;&gt;"",$D$1589&lt;(AVERAGE(VLOOKUP(WORKDAY.INTL(H1577,-7,1,),'Tasas-TC'!A:B,2,FALSE),VLOOKUP(WORKDAY.INTL(H1576,-7,1,),'Tasas-TC'!A:B,2,FALSE))+$D$1587)),$D$1589,(AVERAGE(VLOOKUP(WORKDAY.INTL(H1577,-7,1,),'Tasas-TC'!A:B,2,FALSE),VLOOKUP(WORKDAY.INTL(H1576,-7,1,),'Tasas-TC'!A:B,2,FALSE))+$D$1587)))/360)*(H1577-H1576)*L1576</f>
        <v>2096666.6666666667</v>
      </c>
      <c r="K1577" s="52">
        <f t="shared" si="146"/>
        <v>4000000</v>
      </c>
      <c r="L1577" s="53">
        <f t="shared" si="147"/>
        <v>8000000</v>
      </c>
      <c r="M1577" s="94">
        <f t="shared" si="148"/>
        <v>6096666.666666667</v>
      </c>
      <c r="N1577" s="25"/>
      <c r="O1577" s="195"/>
    </row>
    <row r="1578" spans="1:17" ht="15.95" customHeight="1" x14ac:dyDescent="0.25">
      <c r="A1578" s="121"/>
      <c r="B1578" s="23"/>
      <c r="C1578" s="638" t="s">
        <v>36</v>
      </c>
      <c r="D1578" s="640"/>
      <c r="E1578" s="36"/>
      <c r="F1578" s="483"/>
      <c r="G1578" s="484"/>
      <c r="H1578" s="51">
        <f>IF(DAY(H1577)=DAY($H$1573),IF(WEEKDAY(EDATE(H1577,$D$1585),3)&lt;5,EDATE(H1577,$D$1585),WORKDAY(EDATE(H1577,$D$1585),1)),IF(WEEKDAY(EDATE($H$1573,$D$1585*COUNT($H$1573:H1577)),3)&lt;5,EDATE($H$1573,$D$1585*COUNT($H$1573:H1577)),WORKDAY(EDATE($H$1573,$D$1585*COUNT($H$1573:H1577)),1)))</f>
        <v>44011</v>
      </c>
      <c r="I1578" s="71" t="s">
        <v>13</v>
      </c>
      <c r="J1578" s="52">
        <f>(IF(AND($D$1588&lt;&gt;"",$D$1588&gt;(AVERAGE(VLOOKUP(WORKDAY.INTL(H1578,-7,1,),'Tasas-TC'!A:B,2,FALSE),VLOOKUP(WORKDAY.INTL(H1577,-7,1,),'Tasas-TC'!A:B,2,FALSE))+$D$1587)),$D$1588,IF(AND($D$1589&lt;&gt;"",$D$1589&lt;(AVERAGE(VLOOKUP(WORKDAY.INTL(H1578,-7,1,),'Tasas-TC'!A:B,2,FALSE),VLOOKUP(WORKDAY.INTL(H1577,-7,1,),'Tasas-TC'!A:B,2,FALSE))+$D$1587)),$D$1589,(AVERAGE(VLOOKUP(WORKDAY.INTL(H1578,-7,1,),'Tasas-TC'!A:B,2,FALSE),VLOOKUP(WORKDAY.INTL(H1577,-7,1,),'Tasas-TC'!A:B,2,FALSE))+$D$1587)))/360)*(H1578-H1577)*L1577</f>
        <v>1375111.1111111112</v>
      </c>
      <c r="K1578" s="52">
        <f t="shared" si="146"/>
        <v>4000000</v>
      </c>
      <c r="L1578" s="53">
        <f t="shared" si="147"/>
        <v>4000000</v>
      </c>
      <c r="M1578" s="94">
        <f t="shared" si="148"/>
        <v>5375111.111111111</v>
      </c>
      <c r="N1578" s="25"/>
      <c r="O1578" s="195"/>
    </row>
    <row r="1579" spans="1:17" ht="15.95" customHeight="1" x14ac:dyDescent="0.25">
      <c r="A1579" s="121"/>
      <c r="B1579" s="23"/>
      <c r="C1579" s="59"/>
      <c r="D1579" s="62"/>
      <c r="E1579" s="36"/>
      <c r="F1579" s="483"/>
      <c r="G1579" s="484"/>
      <c r="H1579" s="51">
        <f>IF(DAY(H1578)=DAY($H$1573),IF(WEEKDAY(EDATE(H1578,$D$1585),3)&lt;5,EDATE(H1578,$D$1585),WORKDAY(EDATE(H1578,$D$1585),1)),IF(WEEKDAY(EDATE($H$1573,$D$1585*COUNT($H$1573:H1578)),3)&lt;5,EDATE($H$1573,$D$1585*COUNT($H$1573:H1578)),WORKDAY(EDATE($H$1573,$D$1585*COUNT($H$1573:H1578)),1)))</f>
        <v>44193</v>
      </c>
      <c r="I1579" s="71" t="s">
        <v>13</v>
      </c>
      <c r="J1579" s="52">
        <f>(IF(AND($D$1588&lt;&gt;"",$D$1588&gt;(AVERAGE(VLOOKUP(WORKDAY.INTL(H1579,-7,1,),'Tasas-TC'!A:B,2,FALSE),VLOOKUP(WORKDAY.INTL(H1578,-7,1,),'Tasas-TC'!A:B,2,FALSE))+$D$1587)),$D$1588,IF(AND($D$1589&lt;&gt;"",$D$1589&lt;(AVERAGE(VLOOKUP(WORKDAY.INTL(H1579,-7,1,),'Tasas-TC'!A:B,2,FALSE),VLOOKUP(WORKDAY.INTL(H1578,-7,1,),'Tasas-TC'!A:B,2,FALSE))+$D$1587)),$D$1589,(AVERAGE(VLOOKUP(WORKDAY.INTL(H1579,-7,1,),'Tasas-TC'!A:B,2,FALSE),VLOOKUP(WORKDAY.INTL(H1578,-7,1,),'Tasas-TC'!A:B,2,FALSE))+$D$1587)))/360)*(H1579-H1578)*L1578</f>
        <v>687555.55555555562</v>
      </c>
      <c r="K1579" s="52">
        <f t="shared" si="146"/>
        <v>4000000</v>
      </c>
      <c r="L1579" s="53">
        <f t="shared" si="147"/>
        <v>0</v>
      </c>
      <c r="M1579" s="94">
        <f t="shared" si="148"/>
        <v>4687555.555555556</v>
      </c>
      <c r="N1579" s="25"/>
      <c r="O1579" s="195"/>
    </row>
    <row r="1580" spans="1:17" ht="15.95" customHeight="1" x14ac:dyDescent="0.25">
      <c r="A1580" s="121"/>
      <c r="B1580" s="23"/>
      <c r="C1580" s="59" t="s">
        <v>9</v>
      </c>
      <c r="D1580" s="98" t="s">
        <v>18</v>
      </c>
      <c r="E1580" s="36"/>
      <c r="F1580" s="483"/>
      <c r="G1580" s="484"/>
      <c r="H1580" s="54"/>
      <c r="I1580" s="61"/>
      <c r="J1580" s="55"/>
      <c r="K1580" s="56"/>
      <c r="L1580" s="57"/>
      <c r="M1580" s="95"/>
      <c r="N1580" s="25"/>
      <c r="O1580" s="195"/>
    </row>
    <row r="1581" spans="1:17" ht="15.95" customHeight="1" x14ac:dyDescent="0.25">
      <c r="A1581" s="121"/>
      <c r="B1581" s="23"/>
      <c r="C1581" s="59" t="s">
        <v>10</v>
      </c>
      <c r="D1581" s="65">
        <v>43095</v>
      </c>
      <c r="E1581" s="36"/>
      <c r="F1581" s="483"/>
      <c r="G1581" s="484"/>
      <c r="H1581" s="24"/>
      <c r="I1581" s="24"/>
      <c r="J1581" s="24"/>
      <c r="K1581" s="24"/>
      <c r="L1581" s="24"/>
      <c r="M1581" s="24"/>
      <c r="N1581" s="25"/>
      <c r="O1581" s="195"/>
    </row>
    <row r="1582" spans="1:17" ht="15.95" customHeight="1" x14ac:dyDescent="0.25">
      <c r="A1582" s="121"/>
      <c r="B1582" s="23"/>
      <c r="C1582" s="59" t="s">
        <v>11</v>
      </c>
      <c r="D1582" s="65">
        <v>43097</v>
      </c>
      <c r="E1582" s="36"/>
      <c r="F1582" s="483"/>
      <c r="G1582" s="484"/>
      <c r="H1582" s="656" t="s">
        <v>43</v>
      </c>
      <c r="I1582" s="656"/>
      <c r="J1582" s="92">
        <v>0</v>
      </c>
      <c r="K1582" s="92"/>
      <c r="L1582" s="24"/>
      <c r="M1582" s="24"/>
      <c r="N1582" s="25"/>
      <c r="O1582" s="195"/>
    </row>
    <row r="1583" spans="1:17" ht="15.95" customHeight="1" x14ac:dyDescent="0.25">
      <c r="A1583" s="121"/>
      <c r="B1583" s="23"/>
      <c r="C1583" s="59" t="s">
        <v>12</v>
      </c>
      <c r="D1583" s="65">
        <v>44193</v>
      </c>
      <c r="E1583" s="36"/>
      <c r="F1583" s="483"/>
      <c r="G1583" s="484"/>
      <c r="H1583" s="657"/>
      <c r="I1583" s="657"/>
      <c r="J1583" s="392"/>
      <c r="K1583" s="24"/>
      <c r="L1583" s="33"/>
      <c r="M1583" s="33"/>
      <c r="N1583" s="25"/>
      <c r="O1583" s="195"/>
    </row>
    <row r="1584" spans="1:17" ht="15.95" customHeight="1" x14ac:dyDescent="0.25">
      <c r="A1584" s="121"/>
      <c r="B1584" s="23"/>
      <c r="C1584" s="59" t="s">
        <v>27</v>
      </c>
      <c r="D1584" s="66">
        <v>20000000</v>
      </c>
      <c r="E1584" s="41"/>
      <c r="F1584" s="480"/>
      <c r="G1584" s="484"/>
      <c r="H1584" s="24"/>
      <c r="I1584" s="24"/>
      <c r="J1584" s="24"/>
      <c r="K1584" s="24"/>
      <c r="L1584" s="24"/>
      <c r="M1584" s="24"/>
      <c r="N1584" s="25"/>
      <c r="O1584" s="195"/>
    </row>
    <row r="1585" spans="1:17" ht="15.95" customHeight="1" x14ac:dyDescent="0.25">
      <c r="A1585" s="121"/>
      <c r="B1585" s="23"/>
      <c r="C1585" s="59" t="s">
        <v>26</v>
      </c>
      <c r="D1585" s="66">
        <v>6</v>
      </c>
      <c r="E1585" s="36"/>
      <c r="F1585" s="480"/>
      <c r="G1585" s="485"/>
      <c r="H1585" s="638" t="s">
        <v>44</v>
      </c>
      <c r="I1585" s="639"/>
      <c r="J1585" s="639"/>
      <c r="K1585" s="639"/>
      <c r="L1585" s="639"/>
      <c r="M1585" s="640"/>
      <c r="N1585" s="25"/>
      <c r="O1585" s="195"/>
    </row>
    <row r="1586" spans="1:17" ht="15.95" customHeight="1" x14ac:dyDescent="0.25">
      <c r="A1586" s="121"/>
      <c r="B1586" s="23"/>
      <c r="C1586" s="59" t="s">
        <v>19</v>
      </c>
      <c r="D1586" s="67" t="s">
        <v>20</v>
      </c>
      <c r="E1586" s="43"/>
      <c r="F1586" s="480"/>
      <c r="G1586" s="485"/>
      <c r="H1586" s="23"/>
      <c r="I1586" s="24"/>
      <c r="J1586" s="24"/>
      <c r="K1586" s="24"/>
      <c r="L1586" s="24"/>
      <c r="M1586" s="25"/>
      <c r="N1586" s="25"/>
      <c r="O1586" s="195"/>
    </row>
    <row r="1587" spans="1:17" ht="15.95" customHeight="1" x14ac:dyDescent="0.25">
      <c r="A1587" s="121"/>
      <c r="B1587" s="23"/>
      <c r="C1587" s="59" t="s">
        <v>14</v>
      </c>
      <c r="D1587" s="68">
        <v>7.9000000000000001E-2</v>
      </c>
      <c r="E1587" s="43"/>
      <c r="F1587" s="480"/>
      <c r="G1587" s="485"/>
      <c r="H1587" s="23"/>
      <c r="I1587" s="24"/>
      <c r="J1587" s="24"/>
      <c r="K1587" s="24"/>
      <c r="L1587" s="24"/>
      <c r="M1587" s="25"/>
      <c r="N1587" s="25"/>
      <c r="O1587" s="195"/>
    </row>
    <row r="1588" spans="1:17" ht="15.95" customHeight="1" x14ac:dyDescent="0.25">
      <c r="A1588" s="121"/>
      <c r="B1588" s="23"/>
      <c r="C1588" s="59" t="s">
        <v>31</v>
      </c>
      <c r="D1588" s="68">
        <v>0.15</v>
      </c>
      <c r="E1588" s="43"/>
      <c r="F1588" s="480"/>
      <c r="G1588" s="485"/>
      <c r="H1588" s="96"/>
      <c r="I1588" s="35"/>
      <c r="J1588" s="24"/>
      <c r="K1588" s="24"/>
      <c r="L1588" s="24"/>
      <c r="M1588" s="25"/>
      <c r="N1588" s="25"/>
      <c r="O1588" s="195"/>
    </row>
    <row r="1589" spans="1:17" ht="15.95" customHeight="1" x14ac:dyDescent="0.25">
      <c r="A1589" s="121"/>
      <c r="B1589" s="23"/>
      <c r="C1589" s="59" t="s">
        <v>32</v>
      </c>
      <c r="D1589" s="68">
        <v>0.34</v>
      </c>
      <c r="E1589" s="44"/>
      <c r="F1589" s="480"/>
      <c r="G1589" s="485"/>
      <c r="H1589" s="23"/>
      <c r="I1589" s="24"/>
      <c r="J1589" s="24"/>
      <c r="K1589" s="24"/>
      <c r="L1589" s="24"/>
      <c r="M1589" s="25"/>
      <c r="N1589" s="25"/>
      <c r="O1589" s="195"/>
    </row>
    <row r="1590" spans="1:17" ht="15.95" customHeight="1" x14ac:dyDescent="0.25">
      <c r="A1590" s="121"/>
      <c r="B1590" s="23"/>
      <c r="C1590" s="59" t="s">
        <v>58</v>
      </c>
      <c r="D1590" s="69">
        <v>0.2</v>
      </c>
      <c r="E1590" s="24"/>
      <c r="F1590" s="480"/>
      <c r="G1590" s="485"/>
      <c r="H1590" s="23"/>
      <c r="I1590" s="24"/>
      <c r="J1590" s="24"/>
      <c r="K1590" s="24"/>
      <c r="L1590" s="24"/>
      <c r="M1590" s="25"/>
      <c r="N1590" s="25"/>
      <c r="O1590" s="195"/>
    </row>
    <row r="1591" spans="1:17" ht="15.95" customHeight="1" x14ac:dyDescent="0.25">
      <c r="A1591" s="121"/>
      <c r="B1591" s="23"/>
      <c r="C1591" s="63"/>
      <c r="D1591" s="64"/>
      <c r="E1591" s="24"/>
      <c r="F1591" s="480"/>
      <c r="G1591" s="485"/>
      <c r="H1591" s="23"/>
      <c r="I1591" s="24"/>
      <c r="J1591" s="24"/>
      <c r="K1591" s="24"/>
      <c r="L1591" s="24"/>
      <c r="M1591" s="25"/>
      <c r="N1591" s="25"/>
      <c r="O1591" s="194" t="str">
        <f>+D1709</f>
        <v>ON Pyme CNV Garantizada</v>
      </c>
    </row>
    <row r="1592" spans="1:17" ht="15.95" customHeight="1" x14ac:dyDescent="0.25">
      <c r="A1592" s="121"/>
      <c r="B1592" s="23"/>
      <c r="C1592" s="24"/>
      <c r="D1592" s="24"/>
      <c r="E1592" s="24"/>
      <c r="F1592" s="480"/>
      <c r="G1592" s="485"/>
      <c r="H1592" s="23"/>
      <c r="I1592" s="24"/>
      <c r="J1592" s="24"/>
      <c r="K1592" s="24"/>
      <c r="L1592" s="24"/>
      <c r="M1592" s="25"/>
      <c r="N1592" s="25"/>
      <c r="O1592" s="195"/>
    </row>
    <row r="1593" spans="1:17" ht="20.100000000000001" customHeight="1" x14ac:dyDescent="0.25">
      <c r="A1593" s="121"/>
      <c r="B1593" s="23"/>
      <c r="C1593" s="24"/>
      <c r="D1593" s="24"/>
      <c r="E1593" s="24"/>
      <c r="F1593" s="480"/>
      <c r="G1593" s="485"/>
      <c r="H1593" s="23"/>
      <c r="I1593" s="24"/>
      <c r="J1593" s="24"/>
      <c r="K1593" s="24"/>
      <c r="L1593" s="24"/>
      <c r="M1593" s="25"/>
      <c r="N1593" s="25"/>
      <c r="O1593" s="194" t="str">
        <f>+IF(J1707="vencida",IF(D1709='Reporte - Oscuro'!$C$40,'Reporte - Oscuro'!$C$40&amp;" vencida",IF(D1709='Reporte - Oscuro'!$C$41,'Reporte - Oscuro'!$C$41&amp;" vencida",IF(D1709='Reporte - Oscuro'!$C$42,'Reporte - Oscuro'!$C$42&amp;" vencida",'Reporte - Oscuro'!$C$43&amp;" vencida"))),D1709&amp;" vigente")</f>
        <v>ON Pyme CNV Garantizada vencida</v>
      </c>
    </row>
    <row r="1594" spans="1:17" ht="15.95" customHeight="1" x14ac:dyDescent="0.25">
      <c r="A1594" s="121"/>
      <c r="B1594" s="23"/>
      <c r="C1594" s="24"/>
      <c r="D1594" s="24"/>
      <c r="E1594" s="24"/>
      <c r="F1594" s="480"/>
      <c r="G1594" s="485"/>
      <c r="H1594" s="23"/>
      <c r="I1594" s="24"/>
      <c r="J1594" s="24"/>
      <c r="K1594" s="24"/>
      <c r="L1594" s="24"/>
      <c r="M1594" s="25"/>
      <c r="N1594" s="25"/>
      <c r="O1594" s="195"/>
    </row>
    <row r="1595" spans="1:17" ht="20.100000000000001" customHeight="1" x14ac:dyDescent="0.25">
      <c r="A1595" s="121"/>
      <c r="B1595" s="23"/>
      <c r="C1595" s="24"/>
      <c r="D1595" s="24"/>
      <c r="E1595" s="24"/>
      <c r="F1595" s="480"/>
      <c r="G1595" s="485"/>
      <c r="H1595" s="23"/>
      <c r="I1595" s="24"/>
      <c r="J1595" s="24"/>
      <c r="K1595" s="24"/>
      <c r="L1595" s="24"/>
      <c r="M1595" s="25"/>
      <c r="N1595" s="25"/>
      <c r="O1595" s="195"/>
    </row>
    <row r="1596" spans="1:17" ht="15.95" customHeight="1" x14ac:dyDescent="0.25">
      <c r="A1596" s="121"/>
      <c r="B1596" s="23"/>
      <c r="C1596" s="24"/>
      <c r="D1596" s="24"/>
      <c r="E1596" s="24"/>
      <c r="F1596" s="480"/>
      <c r="G1596" s="485"/>
      <c r="H1596" s="23"/>
      <c r="I1596" s="24"/>
      <c r="J1596" s="24"/>
      <c r="K1596" s="24"/>
      <c r="L1596" s="24"/>
      <c r="M1596" s="25"/>
      <c r="N1596" s="25"/>
      <c r="O1596" s="195"/>
    </row>
    <row r="1597" spans="1:17" ht="20.100000000000001" customHeight="1" x14ac:dyDescent="0.25">
      <c r="A1597" s="121"/>
      <c r="B1597" s="23"/>
      <c r="C1597" s="24"/>
      <c r="D1597" s="24"/>
      <c r="E1597" s="24"/>
      <c r="F1597" s="480"/>
      <c r="G1597" s="485"/>
      <c r="H1597" s="26"/>
      <c r="I1597" s="27"/>
      <c r="J1597" s="27"/>
      <c r="K1597" s="27"/>
      <c r="L1597" s="27"/>
      <c r="M1597" s="28"/>
      <c r="N1597" s="25"/>
      <c r="O1597" s="195"/>
    </row>
    <row r="1598" spans="1:17" ht="15.95" customHeight="1" x14ac:dyDescent="0.25">
      <c r="A1598" s="121"/>
      <c r="B1598" s="26"/>
      <c r="C1598" s="27"/>
      <c r="D1598" s="27"/>
      <c r="E1598" s="27"/>
      <c r="F1598" s="481"/>
      <c r="G1598" s="486"/>
      <c r="H1598" s="27"/>
      <c r="I1598" s="27"/>
      <c r="J1598" s="27"/>
      <c r="K1598" s="27"/>
      <c r="L1598" s="27"/>
      <c r="M1598" s="27"/>
      <c r="N1598" s="28"/>
      <c r="O1598" s="197">
        <f>+M1712</f>
        <v>-30000000</v>
      </c>
      <c r="P1598" s="197">
        <f>-M1712</f>
        <v>30000000</v>
      </c>
      <c r="Q1598" s="197"/>
    </row>
    <row r="1599" spans="1:17" ht="20.100000000000001" customHeight="1" x14ac:dyDescent="0.25">
      <c r="A1599" s="121"/>
      <c r="B1599" s="23"/>
      <c r="C1599" s="24"/>
      <c r="D1599" s="24"/>
      <c r="E1599" s="24"/>
      <c r="F1599" s="480"/>
      <c r="G1599" s="480"/>
      <c r="H1599" s="24"/>
      <c r="I1599" s="24"/>
      <c r="J1599" s="24"/>
      <c r="K1599" s="24"/>
      <c r="L1599" s="24"/>
      <c r="M1599" s="24"/>
      <c r="N1599" s="25"/>
      <c r="O1599" s="197">
        <f>+M1713+O1598</f>
        <v>-19157000</v>
      </c>
      <c r="P1599" s="197">
        <f>+(M1713/(1+$J$1720)^((H1713-$H$1712)/365))/$P$1598</f>
        <v>0.36143333333333333</v>
      </c>
      <c r="Q1599" s="197">
        <f>+P1599*((H1713-$H$1712)/365)</f>
        <v>0.1822020091324201</v>
      </c>
    </row>
    <row r="1600" spans="1:17" ht="15.95" customHeight="1" x14ac:dyDescent="0.25">
      <c r="A1600" s="121"/>
      <c r="B1600" s="661" t="s">
        <v>166</v>
      </c>
      <c r="C1600" s="662"/>
      <c r="D1600" s="662"/>
      <c r="E1600" s="662"/>
      <c r="F1600" s="662"/>
      <c r="G1600" s="662"/>
      <c r="H1600" s="662"/>
      <c r="I1600" s="662"/>
      <c r="J1600" s="662"/>
      <c r="K1600" s="662"/>
      <c r="L1600" s="662"/>
      <c r="M1600" s="662"/>
      <c r="N1600" s="663"/>
      <c r="O1600" s="197">
        <f>+M1714+O1599</f>
        <v>-10787431.25</v>
      </c>
      <c r="P1600" s="197">
        <f>+(M1714/(1+$J$1720)^((H1714-$H$1712)/365))/$P$1598</f>
        <v>0.27898562500000001</v>
      </c>
      <c r="Q1600" s="197">
        <f>+P1600*((H1714-$H$1712)/365)</f>
        <v>0.27974996917808226</v>
      </c>
    </row>
    <row r="1601" spans="1:17" ht="15.95" customHeight="1" x14ac:dyDescent="0.25">
      <c r="A1601" s="121"/>
      <c r="B1601" s="23"/>
      <c r="C1601" s="24"/>
      <c r="D1601" s="24"/>
      <c r="E1601" s="24"/>
      <c r="F1601" s="483"/>
      <c r="G1601" s="484"/>
      <c r="H1601" s="31"/>
      <c r="I1601" s="31"/>
      <c r="J1601" s="24"/>
      <c r="K1601" s="24"/>
      <c r="L1601" s="24"/>
      <c r="M1601" s="24"/>
      <c r="N1601" s="25"/>
      <c r="O1601" s="197">
        <f>+M1715+O1600</f>
        <v>5162318.75</v>
      </c>
      <c r="P1601" s="197">
        <f>+(M1715/(1+$J$1720)^((H1715-$H$1712)/365))/$P$1598</f>
        <v>0.53165833333333334</v>
      </c>
      <c r="Q1601" s="197">
        <f>+P1601*((H1715-$H$1712)/365)</f>
        <v>0.80258559360730586</v>
      </c>
    </row>
    <row r="1602" spans="1:17" ht="15.95" customHeight="1" x14ac:dyDescent="0.25">
      <c r="A1602" s="121"/>
      <c r="B1602" s="23"/>
      <c r="C1602" s="638" t="s">
        <v>37</v>
      </c>
      <c r="D1602" s="639"/>
      <c r="E1602" s="640"/>
      <c r="F1602" s="483"/>
      <c r="G1602" s="484"/>
      <c r="H1602" s="641" t="s">
        <v>28</v>
      </c>
      <c r="I1602" s="642"/>
      <c r="J1602" s="39">
        <f t="array" ref="J1602">+$D$1623-SUMIF($H$1608:$H$1646,"&lt;"&amp;$M$4,$K$1608:$K$1646)</f>
        <v>5.6624412536621094E-7</v>
      </c>
      <c r="K1602" s="24"/>
      <c r="L1602" s="24"/>
      <c r="M1602" s="24"/>
      <c r="N1602" s="25"/>
      <c r="O1602" s="197">
        <f>+M1716+O1601</f>
        <v>19105168.75</v>
      </c>
      <c r="P1602" s="197">
        <f>+(M1716/(1+$J$1720)^((H1716-$H$1712)/365))/$P$1598</f>
        <v>0.46476166666666668</v>
      </c>
      <c r="Q1602" s="197">
        <f>+P1602*((H1716-$H$1712)/365)</f>
        <v>0.93334329223744295</v>
      </c>
    </row>
    <row r="1603" spans="1:17" ht="15.95" customHeight="1" x14ac:dyDescent="0.25">
      <c r="A1603" s="121"/>
      <c r="B1603" s="23"/>
      <c r="C1603" s="58"/>
      <c r="D1603" s="664"/>
      <c r="E1603" s="665"/>
      <c r="F1603" s="483"/>
      <c r="G1603" s="484"/>
      <c r="H1603" s="645" t="s">
        <v>29</v>
      </c>
      <c r="I1603" s="646"/>
      <c r="J1603" s="40">
        <f>+$D$1622</f>
        <v>44547</v>
      </c>
      <c r="K1603" s="24"/>
      <c r="L1603" s="24"/>
      <c r="M1603" s="24"/>
      <c r="N1603" s="25"/>
      <c r="O1603" s="197"/>
      <c r="P1603" s="197"/>
      <c r="Q1603" s="197"/>
    </row>
    <row r="1604" spans="1:17" ht="15.95" customHeight="1" x14ac:dyDescent="0.25">
      <c r="A1604" s="121"/>
      <c r="B1604" s="23"/>
      <c r="C1604" s="59" t="s">
        <v>25</v>
      </c>
      <c r="D1604" s="658"/>
      <c r="E1604" s="659"/>
      <c r="F1604" s="483"/>
      <c r="G1604" s="484"/>
      <c r="H1604" s="649" t="s">
        <v>30</v>
      </c>
      <c r="I1604" s="650"/>
      <c r="J1604" s="42" t="str">
        <f t="array" ref="J1604">+IF(H1645&gt;=M4,MIN(IF(H1608:H1646&gt;=$M$4,H1608:H1646,"")),"vencida")</f>
        <v>vencida</v>
      </c>
      <c r="K1604" s="24"/>
      <c r="L1604" s="24"/>
      <c r="M1604" s="24"/>
      <c r="N1604" s="25"/>
      <c r="O1604" s="197"/>
      <c r="P1604" s="197"/>
      <c r="Q1604" s="197"/>
    </row>
    <row r="1605" spans="1:17" ht="15.95" customHeight="1" x14ac:dyDescent="0.25">
      <c r="A1605" s="121"/>
      <c r="B1605" s="23"/>
      <c r="C1605" s="59" t="s">
        <v>6</v>
      </c>
      <c r="D1605" s="658" t="s">
        <v>165</v>
      </c>
      <c r="E1605" s="659"/>
      <c r="F1605" s="483"/>
      <c r="G1605" s="484"/>
      <c r="H1605" s="24"/>
      <c r="I1605" s="24"/>
      <c r="J1605" s="24"/>
      <c r="K1605" s="24"/>
      <c r="L1605" s="24"/>
      <c r="M1605" s="24"/>
      <c r="N1605" s="25"/>
      <c r="O1605" s="197"/>
      <c r="P1605" s="29"/>
    </row>
    <row r="1606" spans="1:17" ht="15.95" customHeight="1" x14ac:dyDescent="0.25">
      <c r="A1606" s="121"/>
      <c r="B1606" s="23"/>
      <c r="C1606" s="59" t="s">
        <v>8</v>
      </c>
      <c r="D1606" s="658" t="s">
        <v>17</v>
      </c>
      <c r="E1606" s="659"/>
      <c r="F1606" s="483"/>
      <c r="G1606" s="484"/>
      <c r="H1606" s="651" t="s">
        <v>41</v>
      </c>
      <c r="I1606" s="652"/>
      <c r="J1606" s="652"/>
      <c r="K1606" s="652"/>
      <c r="L1606" s="653"/>
      <c r="M1606" s="24"/>
      <c r="N1606" s="25"/>
      <c r="O1606" s="197"/>
      <c r="P1606" s="29">
        <f>H1713-H1712+1</f>
        <v>185</v>
      </c>
    </row>
    <row r="1607" spans="1:17" ht="15.95" customHeight="1" x14ac:dyDescent="0.25">
      <c r="A1607" s="121"/>
      <c r="B1607" s="23"/>
      <c r="C1607" s="59" t="s">
        <v>33</v>
      </c>
      <c r="D1607" s="73" t="s">
        <v>325</v>
      </c>
      <c r="E1607" s="273">
        <v>0.25</v>
      </c>
      <c r="F1607" s="483">
        <f>+E1607*$J$1602</f>
        <v>1.4156103134155273E-7</v>
      </c>
      <c r="G1607" s="484"/>
      <c r="H1607" s="81" t="s">
        <v>0</v>
      </c>
      <c r="I1607" s="82" t="s">
        <v>2</v>
      </c>
      <c r="J1607" s="82" t="s">
        <v>3</v>
      </c>
      <c r="K1607" s="82" t="s">
        <v>4</v>
      </c>
      <c r="L1607" s="83" t="s">
        <v>5</v>
      </c>
      <c r="M1607" s="82" t="s">
        <v>44</v>
      </c>
      <c r="N1607" s="25"/>
      <c r="O1607" s="197"/>
      <c r="P1607" s="29"/>
    </row>
    <row r="1608" spans="1:17" ht="15.95" customHeight="1" x14ac:dyDescent="0.25">
      <c r="A1608" s="121"/>
      <c r="B1608" s="23"/>
      <c r="C1608" s="278" t="s">
        <v>33</v>
      </c>
      <c r="D1608" s="73" t="s">
        <v>288</v>
      </c>
      <c r="E1608" s="273">
        <v>0.25</v>
      </c>
      <c r="F1608" s="483">
        <f>+E1608*$J$1602</f>
        <v>1.4156103134155273E-7</v>
      </c>
      <c r="G1608" s="484"/>
      <c r="H1608" s="45"/>
      <c r="I1608" s="46"/>
      <c r="J1608" s="46"/>
      <c r="K1608" s="46"/>
      <c r="L1608" s="47"/>
      <c r="M1608" s="23"/>
      <c r="N1608" s="25"/>
      <c r="O1608" s="197"/>
    </row>
    <row r="1609" spans="1:17" ht="15.95" customHeight="1" x14ac:dyDescent="0.25">
      <c r="A1609" s="121"/>
      <c r="B1609" s="23"/>
      <c r="C1609" s="278" t="s">
        <v>33</v>
      </c>
      <c r="D1609" s="73" t="s">
        <v>303</v>
      </c>
      <c r="E1609" s="273">
        <v>0.3</v>
      </c>
      <c r="F1609" s="483">
        <f>+E1609*$J$1602</f>
        <v>1.6987323760986329E-7</v>
      </c>
      <c r="G1609" s="484"/>
      <c r="H1609" s="48">
        <f>+$D$1621</f>
        <v>43452</v>
      </c>
      <c r="I1609" s="70"/>
      <c r="J1609" s="49"/>
      <c r="K1609" s="49"/>
      <c r="L1609" s="50">
        <f>+D1623</f>
        <v>20000000</v>
      </c>
      <c r="M1609" s="93">
        <f>-L1609</f>
        <v>-20000000</v>
      </c>
      <c r="N1609" s="25"/>
      <c r="O1609" s="197"/>
      <c r="P1609" s="37"/>
    </row>
    <row r="1610" spans="1:17" ht="15.95" customHeight="1" x14ac:dyDescent="0.25">
      <c r="A1610" s="121"/>
      <c r="B1610" s="23"/>
      <c r="C1610" s="278" t="s">
        <v>33</v>
      </c>
      <c r="D1610" s="73" t="s">
        <v>309</v>
      </c>
      <c r="E1610" s="273">
        <v>0.2</v>
      </c>
      <c r="F1610" s="483">
        <f>+E1610*$J$1602</f>
        <v>1.132488250732422E-7</v>
      </c>
      <c r="G1610" s="484"/>
      <c r="H1610" s="51">
        <f>IF(DAY(H1609)=DAY($H$1609),IF(WEEKDAY(EDATE(H1609,$D$1624),3)&lt;5,EDATE(H1609,$D$1624),WORKDAY(EDATE(H1609,$D$1624),1)),IF(WEEKDAY(EDATE($H$1609,$D$1624*COUNT($H$1609:H1609)),3)&lt;5,EDATE($H$1609,$D$1624*COUNT($H$1609:H1609)),WORKDAY(EDATE($H$1609,$D$1624*COUNT($H$1609:H1609)),1)))</f>
        <v>43483</v>
      </c>
      <c r="I1610" s="71" t="s">
        <v>13</v>
      </c>
      <c r="J1610" s="52">
        <v>988663.19444444461</v>
      </c>
      <c r="K1610" s="52">
        <f t="shared" ref="K1610:K1645" si="149">+IF(OR(I1610="A + C",I1610="A"),$D$1623*$D$1629,0)</f>
        <v>555555.55555554002</v>
      </c>
      <c r="L1610" s="53">
        <f t="shared" ref="L1610:L1645" si="150">+L1609-K1610</f>
        <v>19444444.444444459</v>
      </c>
      <c r="M1610" s="94">
        <f t="shared" ref="M1610:M1645" si="151">+J1610+K1610</f>
        <v>1544218.7499999846</v>
      </c>
      <c r="N1610" s="25"/>
      <c r="O1610" s="197"/>
    </row>
    <row r="1611" spans="1:17" ht="15.95" customHeight="1" x14ac:dyDescent="0.25">
      <c r="A1611" s="121"/>
      <c r="B1611" s="23"/>
      <c r="C1611" s="59" t="s">
        <v>34</v>
      </c>
      <c r="D1611" s="658" t="s">
        <v>48</v>
      </c>
      <c r="E1611" s="659"/>
      <c r="F1611" s="483"/>
      <c r="G1611" s="484"/>
      <c r="H1611" s="51">
        <f>IF(DAY(H1610)=DAY($H$1609),IF(WEEKDAY(EDATE(H1610,$D$1624),3)&lt;5,EDATE(H1610,$D$1624),WORKDAY(EDATE(H1610,$D$1624),1)),IF(WEEKDAY(EDATE($H$1609,$D$1624*COUNT($H$1609:H1610)),3)&lt;5,EDATE($H$1609,$D$1624*COUNT($H$1609:H1610)),WORKDAY(EDATE($H$1609,$D$1624*COUNT($H$1609:H1610)),1)))</f>
        <v>43514</v>
      </c>
      <c r="I1611" s="71" t="s">
        <v>13</v>
      </c>
      <c r="J1611" s="52">
        <v>882190.39351851912</v>
      </c>
      <c r="K1611" s="52">
        <f t="shared" si="149"/>
        <v>555555.55555554002</v>
      </c>
      <c r="L1611" s="53">
        <f t="shared" si="150"/>
        <v>18888888.888888918</v>
      </c>
      <c r="M1611" s="94">
        <f t="shared" si="151"/>
        <v>1437745.9490740593</v>
      </c>
      <c r="N1611" s="25"/>
      <c r="O1611" s="195"/>
    </row>
    <row r="1612" spans="1:17" ht="15.95" customHeight="1" x14ac:dyDescent="0.25">
      <c r="A1612" s="121"/>
      <c r="B1612" s="23"/>
      <c r="C1612" s="79" t="s">
        <v>38</v>
      </c>
      <c r="D1612" s="75"/>
      <c r="E1612" s="76"/>
      <c r="F1612" s="483"/>
      <c r="G1612" s="484"/>
      <c r="H1612" s="51">
        <f>IF(DAY(H1611)=DAY($H$1609),IF(WEEKDAY(EDATE(H1611,$D$1624),3)&lt;5,EDATE(H1611,$D$1624),WORKDAY(EDATE(H1611,$D$1624),1)),IF(WEEKDAY(EDATE($H$1609,$D$1624*COUNT($H$1609:H1611)),3)&lt;5,EDATE($H$1609,$D$1624*COUNT($H$1609:H1611)),WORKDAY(EDATE($H$1609,$D$1624*COUNT($H$1609:H1611)),1)))</f>
        <v>43542</v>
      </c>
      <c r="I1612" s="71" t="s">
        <v>13</v>
      </c>
      <c r="J1612" s="52">
        <v>710694.44444444566</v>
      </c>
      <c r="K1612" s="52">
        <f t="shared" si="149"/>
        <v>555555.55555554002</v>
      </c>
      <c r="L1612" s="53">
        <f t="shared" si="150"/>
        <v>18333333.333333377</v>
      </c>
      <c r="M1612" s="94">
        <f t="shared" si="151"/>
        <v>1266249.9999999856</v>
      </c>
      <c r="N1612" s="25"/>
      <c r="O1612" s="195"/>
    </row>
    <row r="1613" spans="1:17" ht="15.95" customHeight="1" x14ac:dyDescent="0.25">
      <c r="A1613" s="121"/>
      <c r="B1613" s="32"/>
      <c r="C1613" s="59"/>
      <c r="D1613" s="73"/>
      <c r="E1613" s="74"/>
      <c r="F1613" s="483"/>
      <c r="G1613" s="484"/>
      <c r="H1613" s="51">
        <f>IF(DAY(H1612)=DAY($H$1609),IF(WEEKDAY(EDATE(H1612,$D$1624),3)&lt;5,EDATE(H1612,$D$1624),WORKDAY(EDATE(H1612,$D$1624),1)),IF(WEEKDAY(EDATE($H$1609,$D$1624*COUNT($H$1609:H1612)),3)&lt;5,EDATE($H$1609,$D$1624*COUNT($H$1609:H1612)),WORKDAY(EDATE($H$1609,$D$1624*COUNT($H$1609:H1612)),1)))</f>
        <v>43573</v>
      </c>
      <c r="I1613" s="71" t="s">
        <v>13</v>
      </c>
      <c r="J1613" s="52">
        <v>837699.65277777985</v>
      </c>
      <c r="K1613" s="52">
        <f t="shared" si="149"/>
        <v>555555.55555554002</v>
      </c>
      <c r="L1613" s="53">
        <f t="shared" si="150"/>
        <v>17777777.777777836</v>
      </c>
      <c r="M1613" s="94">
        <f t="shared" si="151"/>
        <v>1393255.20833332</v>
      </c>
      <c r="N1613" s="25"/>
      <c r="O1613" s="195"/>
    </row>
    <row r="1614" spans="1:17" ht="15.95" customHeight="1" x14ac:dyDescent="0.25">
      <c r="A1614" s="121"/>
      <c r="B1614" s="23"/>
      <c r="C1614" s="60"/>
      <c r="D1614" s="77"/>
      <c r="E1614" s="78"/>
      <c r="F1614" s="483"/>
      <c r="G1614" s="484"/>
      <c r="H1614" s="51">
        <f>IF(DAY(H1613)=DAY($H$1609),IF(WEEKDAY(EDATE(H1613,$D$1624),3)&lt;5,EDATE(H1613,$D$1624),WORKDAY(EDATE(H1613,$D$1624),1)),IF(WEEKDAY(EDATE($H$1609,$D$1624*COUNT($H$1609:H1613)),3)&lt;5,EDATE($H$1609,$D$1624*COUNT($H$1609:H1613)),WORKDAY(EDATE($H$1609,$D$1624*COUNT($H$1609:H1613)),1)))</f>
        <v>43605</v>
      </c>
      <c r="I1614" s="71" t="s">
        <v>13</v>
      </c>
      <c r="J1614" s="52">
        <v>958518.51851852168</v>
      </c>
      <c r="K1614" s="52">
        <f t="shared" si="149"/>
        <v>555555.55555554002</v>
      </c>
      <c r="L1614" s="53">
        <f t="shared" si="150"/>
        <v>17222222.222222295</v>
      </c>
      <c r="M1614" s="94">
        <f t="shared" si="151"/>
        <v>1514074.0740740616</v>
      </c>
      <c r="N1614" s="25"/>
      <c r="O1614" s="195"/>
    </row>
    <row r="1615" spans="1:17" ht="15.95" customHeight="1" x14ac:dyDescent="0.25">
      <c r="A1615" s="121"/>
      <c r="B1615" s="23"/>
      <c r="C1615" s="60"/>
      <c r="D1615" s="275" t="str">
        <f>+B1600</f>
        <v>Lustramax I</v>
      </c>
      <c r="E1615" s="276"/>
      <c r="F1615" s="483"/>
      <c r="G1615" s="484">
        <f>+J1602</f>
        <v>5.6624412536621094E-7</v>
      </c>
      <c r="H1615" s="51">
        <f>IF(DAY(H1614)=DAY($H$1609),IF(WEEKDAY(EDATE(H1614,$D$1624),3)&lt;5,EDATE(H1614,$D$1624),WORKDAY(EDATE(H1614,$D$1624),1)),IF(WEEKDAY(EDATE($H$1609,$D$1624*COUNT($H$1609:H1614)),3)&lt;5,EDATE($H$1609,$D$1624*COUNT($H$1609:H1614)),WORKDAY(EDATE($H$1609,$D$1624*COUNT($H$1609:H1614)),1)))</f>
        <v>43634</v>
      </c>
      <c r="I1615" s="71" t="s">
        <v>13</v>
      </c>
      <c r="J1615" s="52">
        <v>868391.68595679372</v>
      </c>
      <c r="K1615" s="52">
        <f t="shared" si="149"/>
        <v>555555.55555554002</v>
      </c>
      <c r="L1615" s="53">
        <f t="shared" si="150"/>
        <v>16666666.666666755</v>
      </c>
      <c r="M1615" s="94">
        <f t="shared" si="151"/>
        <v>1423947.2415123337</v>
      </c>
      <c r="N1615" s="25"/>
      <c r="O1615" s="195"/>
    </row>
    <row r="1616" spans="1:17" ht="15.95" customHeight="1" x14ac:dyDescent="0.25">
      <c r="A1616" s="121"/>
      <c r="B1616" s="23"/>
      <c r="D1616" s="277"/>
      <c r="E1616" s="277"/>
      <c r="F1616" s="483"/>
      <c r="G1616" s="484"/>
      <c r="H1616" s="51">
        <f>IF(DAY(H1615)=DAY($H$1609),IF(WEEKDAY(EDATE(H1615,$D$1624),3)&lt;5,EDATE(H1615,$D$1624),WORKDAY(EDATE(H1615,$D$1624),1)),IF(WEEKDAY(EDATE($H$1609,$D$1624*COUNT($H$1609:H1615)),3)&lt;5,EDATE($H$1609,$D$1624*COUNT($H$1609:H1615)),WORKDAY(EDATE($H$1609,$D$1624*COUNT($H$1609:H1615)),1)))</f>
        <v>43664</v>
      </c>
      <c r="I1616" s="71" t="s">
        <v>13</v>
      </c>
      <c r="J1616" s="52">
        <v>838541.66666667117</v>
      </c>
      <c r="K1616" s="52">
        <f t="shared" si="149"/>
        <v>555555.55555554002</v>
      </c>
      <c r="L1616" s="53">
        <f t="shared" si="150"/>
        <v>16111111.111111216</v>
      </c>
      <c r="M1616" s="94">
        <f t="shared" si="151"/>
        <v>1394097.2222222113</v>
      </c>
      <c r="N1616" s="25"/>
      <c r="O1616" s="195"/>
    </row>
    <row r="1617" spans="1:15" ht="15.95" customHeight="1" x14ac:dyDescent="0.25">
      <c r="A1617" s="121"/>
      <c r="B1617" s="23"/>
      <c r="C1617" s="638" t="s">
        <v>36</v>
      </c>
      <c r="D1617" s="640"/>
      <c r="E1617" s="36"/>
      <c r="F1617" s="483"/>
      <c r="G1617" s="484"/>
      <c r="H1617" s="51">
        <f>IF(DAY(H1616)=DAY($H$1609),IF(WEEKDAY(EDATE(H1616,$D$1624),3)&lt;5,EDATE(H1616,$D$1624),WORKDAY(EDATE(H1616,$D$1624),1)),IF(WEEKDAY(EDATE($H$1609,$D$1624*COUNT($H$1609:H1616)),3)&lt;5,EDATE($H$1609,$D$1624*COUNT($H$1609:H1616)),WORKDAY(EDATE($H$1609,$D$1624*COUNT($H$1609:H1616)),1)))</f>
        <v>43696</v>
      </c>
      <c r="I1617" s="71" t="s">
        <v>13</v>
      </c>
      <c r="J1617" s="52">
        <v>859706.79012346244</v>
      </c>
      <c r="K1617" s="52">
        <f t="shared" si="149"/>
        <v>555555.55555554002</v>
      </c>
      <c r="L1617" s="53">
        <f t="shared" si="150"/>
        <v>15555555.555555677</v>
      </c>
      <c r="M1617" s="94">
        <f t="shared" si="151"/>
        <v>1415262.3456790023</v>
      </c>
      <c r="N1617" s="25"/>
      <c r="O1617" s="195"/>
    </row>
    <row r="1618" spans="1:15" ht="15.95" customHeight="1" x14ac:dyDescent="0.25">
      <c r="A1618" s="121"/>
      <c r="B1618" s="23"/>
      <c r="C1618" s="59"/>
      <c r="D1618" s="62"/>
      <c r="E1618" s="36"/>
      <c r="F1618" s="483"/>
      <c r="G1618" s="484"/>
      <c r="H1618" s="51">
        <f>IF(DAY(H1617)=DAY($H$1609),IF(WEEKDAY(EDATE(H1617,$D$1624),3)&lt;5,EDATE(H1617,$D$1624),WORKDAY(EDATE(H1617,$D$1624),1)),IF(WEEKDAY(EDATE($H$1609,$D$1624*COUNT($H$1609:H1617)),3)&lt;5,EDATE($H$1609,$D$1624*COUNT($H$1609:H1617)),WORKDAY(EDATE($H$1609,$D$1624*COUNT($H$1609:H1617)),1)))</f>
        <v>43726</v>
      </c>
      <c r="I1618" s="71" t="s">
        <v>13</v>
      </c>
      <c r="J1618" s="52">
        <v>850289.35185185843</v>
      </c>
      <c r="K1618" s="52">
        <f t="shared" si="149"/>
        <v>555555.55555554002</v>
      </c>
      <c r="L1618" s="53">
        <f t="shared" si="150"/>
        <v>15000000.000000138</v>
      </c>
      <c r="M1618" s="94">
        <f t="shared" si="151"/>
        <v>1405844.9074073983</v>
      </c>
      <c r="N1618" s="25"/>
      <c r="O1618" s="195"/>
    </row>
    <row r="1619" spans="1:15" ht="15.95" customHeight="1" x14ac:dyDescent="0.25">
      <c r="A1619" s="121"/>
      <c r="B1619" s="23"/>
      <c r="C1619" s="59" t="s">
        <v>9</v>
      </c>
      <c r="D1619" s="98" t="s">
        <v>18</v>
      </c>
      <c r="E1619" s="36"/>
      <c r="F1619" s="483"/>
      <c r="G1619" s="484"/>
      <c r="H1619" s="51">
        <f>IF(DAY(H1618)=DAY($H$1609),IF(WEEKDAY(EDATE(H1618,$D$1624),3)&lt;5,EDATE(H1618,$D$1624),WORKDAY(EDATE(H1618,$D$1624),1)),IF(WEEKDAY(EDATE($H$1609,$D$1624*COUNT($H$1609:H1618)),3)&lt;5,EDATE($H$1609,$D$1624*COUNT($H$1609:H1618)),WORKDAY(EDATE($H$1609,$D$1624*COUNT($H$1609:H1618)),1)))</f>
        <v>43756</v>
      </c>
      <c r="I1619" s="71" t="s">
        <v>13</v>
      </c>
      <c r="J1619" s="52">
        <v>849218.7500000078</v>
      </c>
      <c r="K1619" s="52">
        <f t="shared" si="149"/>
        <v>555555.55555554002</v>
      </c>
      <c r="L1619" s="53">
        <f t="shared" si="150"/>
        <v>14444444.444444599</v>
      </c>
      <c r="M1619" s="94">
        <f t="shared" si="151"/>
        <v>1404774.3055555478</v>
      </c>
      <c r="N1619" s="25"/>
      <c r="O1619" s="195"/>
    </row>
    <row r="1620" spans="1:15" ht="15.95" customHeight="1" x14ac:dyDescent="0.25">
      <c r="A1620" s="121"/>
      <c r="B1620" s="23"/>
      <c r="C1620" s="59" t="s">
        <v>10</v>
      </c>
      <c r="D1620" s="65">
        <v>43448</v>
      </c>
      <c r="E1620" s="36"/>
      <c r="F1620" s="480"/>
      <c r="G1620" s="484"/>
      <c r="H1620" s="51">
        <f>IF(DAY(H1619)=DAY($H$1609),IF(WEEKDAY(EDATE(H1619,$D$1624),3)&lt;5,EDATE(H1619,$D$1624),WORKDAY(EDATE(H1619,$D$1624),1)),IF(WEEKDAY(EDATE($H$1609,$D$1624*COUNT($H$1609:H1619)),3)&lt;5,EDATE($H$1609,$D$1624*COUNT($H$1609:H1619)),WORKDAY(EDATE($H$1609,$D$1624*COUNT($H$1609:H1619)),1)))</f>
        <v>43787</v>
      </c>
      <c r="I1620" s="71" t="s">
        <v>13</v>
      </c>
      <c r="J1620" s="52">
        <v>766119.79166667478</v>
      </c>
      <c r="K1620" s="52">
        <f t="shared" si="149"/>
        <v>555555.55555554002</v>
      </c>
      <c r="L1620" s="53">
        <f t="shared" si="150"/>
        <v>13888888.888889059</v>
      </c>
      <c r="M1620" s="94">
        <f t="shared" si="151"/>
        <v>1321675.3472222148</v>
      </c>
      <c r="N1620" s="25"/>
      <c r="O1620" s="195"/>
    </row>
    <row r="1621" spans="1:15" ht="15.95" customHeight="1" x14ac:dyDescent="0.25">
      <c r="A1621" s="121"/>
      <c r="B1621" s="23"/>
      <c r="C1621" s="59" t="s">
        <v>11</v>
      </c>
      <c r="D1621" s="65">
        <v>43452</v>
      </c>
      <c r="E1621" s="36"/>
      <c r="F1621" s="480"/>
      <c r="G1621" s="484"/>
      <c r="H1621" s="51">
        <f>IF(DAY(H1620)=DAY($H$1609),IF(WEEKDAY(EDATE(H1620,$D$1624),3)&lt;5,EDATE(H1620,$D$1624),WORKDAY(EDATE(H1620,$D$1624),1)),IF(WEEKDAY(EDATE($H$1609,$D$1624*COUNT($H$1609:H1620)),3)&lt;5,EDATE($H$1609,$D$1624*COUNT($H$1609:H1620)),WORKDAY(EDATE($H$1609,$D$1624*COUNT($H$1609:H1620)),1)))</f>
        <v>43817</v>
      </c>
      <c r="I1621" s="71" t="s">
        <v>13</v>
      </c>
      <c r="J1621" s="52">
        <v>630787.03703704488</v>
      </c>
      <c r="K1621" s="52">
        <f t="shared" si="149"/>
        <v>555555.55555554002</v>
      </c>
      <c r="L1621" s="53">
        <f t="shared" si="150"/>
        <v>13333333.33333352</v>
      </c>
      <c r="M1621" s="94">
        <f t="shared" si="151"/>
        <v>1186342.5925925849</v>
      </c>
      <c r="N1621" s="25"/>
      <c r="O1621" s="195"/>
    </row>
    <row r="1622" spans="1:15" ht="15.95" customHeight="1" x14ac:dyDescent="0.25">
      <c r="A1622" s="121"/>
      <c r="B1622" s="23"/>
      <c r="C1622" s="59" t="s">
        <v>12</v>
      </c>
      <c r="D1622" s="65">
        <v>44547</v>
      </c>
      <c r="E1622" s="36"/>
      <c r="F1622" s="480"/>
      <c r="G1622" s="484"/>
      <c r="H1622" s="51">
        <f>IF(DAY(H1621)=DAY($H$1609),IF(WEEKDAY(EDATE(H1621,$D$1624),3)&lt;5,EDATE(H1621,$D$1624),WORKDAY(EDATE(H1621,$D$1624),1)),IF(WEEKDAY(EDATE($H$1609,$D$1624*COUNT($H$1609:H1621)),3)&lt;5,EDATE($H$1609,$D$1624*COUNT($H$1609:H1621)),WORKDAY(EDATE($H$1609,$D$1624*COUNT($H$1609:H1621)),1)))</f>
        <v>43850</v>
      </c>
      <c r="I1622" s="71" t="s">
        <v>13</v>
      </c>
      <c r="J1622" s="52">
        <v>614166.66666667513</v>
      </c>
      <c r="K1622" s="52">
        <f t="shared" si="149"/>
        <v>555555.55555554002</v>
      </c>
      <c r="L1622" s="53">
        <f t="shared" si="150"/>
        <v>12777777.777777981</v>
      </c>
      <c r="M1622" s="94">
        <f t="shared" si="151"/>
        <v>1169722.222222215</v>
      </c>
      <c r="N1622" s="25"/>
      <c r="O1622" s="195"/>
    </row>
    <row r="1623" spans="1:15" ht="15.95" customHeight="1" x14ac:dyDescent="0.25">
      <c r="A1623" s="121"/>
      <c r="B1623" s="23"/>
      <c r="C1623" s="59" t="s">
        <v>27</v>
      </c>
      <c r="D1623" s="66">
        <v>20000000</v>
      </c>
      <c r="E1623" s="41"/>
      <c r="F1623" s="480"/>
      <c r="G1623" s="484"/>
      <c r="H1623" s="51">
        <f>IF(DAY(H1622)=DAY($H$1609),IF(WEEKDAY(EDATE(H1622,$D$1624),3)&lt;5,EDATE(H1622,$D$1624),WORKDAY(EDATE(H1622,$D$1624),1)),IF(WEEKDAY(EDATE($H$1609,$D$1624*COUNT($H$1609:H1622)),3)&lt;5,EDATE($H$1609,$D$1624*COUNT($H$1609:H1622)),WORKDAY(EDATE($H$1609,$D$1624*COUNT($H$1609:H1622)),1)))</f>
        <v>43879</v>
      </c>
      <c r="I1623" s="71" t="s">
        <v>13</v>
      </c>
      <c r="J1623" s="52">
        <v>474130.97993827914</v>
      </c>
      <c r="K1623" s="52">
        <f t="shared" si="149"/>
        <v>555555.55555554002</v>
      </c>
      <c r="L1623" s="53">
        <f t="shared" si="150"/>
        <v>12222222.222222442</v>
      </c>
      <c r="M1623" s="94">
        <f t="shared" si="151"/>
        <v>1029686.5354938192</v>
      </c>
      <c r="N1623" s="25"/>
      <c r="O1623" s="195"/>
    </row>
    <row r="1624" spans="1:15" ht="15.95" customHeight="1" x14ac:dyDescent="0.25">
      <c r="A1624" s="121"/>
      <c r="B1624" s="23"/>
      <c r="C1624" s="59" t="s">
        <v>26</v>
      </c>
      <c r="D1624" s="66">
        <v>1</v>
      </c>
      <c r="E1624" s="36"/>
      <c r="F1624" s="480"/>
      <c r="G1624" s="484"/>
      <c r="H1624" s="51">
        <f>IF(DAY(H1623)=DAY($H$1609),IF(WEEKDAY(EDATE(H1623,$D$1624),3)&lt;5,EDATE(H1623,$D$1624),WORKDAY(EDATE(H1623,$D$1624),1)),IF(WEEKDAY(EDATE($H$1609,$D$1624*COUNT($H$1609:H1623)),3)&lt;5,EDATE($H$1609,$D$1624*COUNT($H$1609:H1623)),WORKDAY(EDATE($H$1609,$D$1624*COUNT($H$1609:H1623)),1)))</f>
        <v>43908</v>
      </c>
      <c r="I1624" s="71" t="s">
        <v>13</v>
      </c>
      <c r="J1624" s="52">
        <v>411980.13117284694</v>
      </c>
      <c r="K1624" s="52">
        <f t="shared" si="149"/>
        <v>555555.55555554002</v>
      </c>
      <c r="L1624" s="53">
        <f t="shared" si="150"/>
        <v>11666666.666666903</v>
      </c>
      <c r="M1624" s="94">
        <f t="shared" si="151"/>
        <v>967535.68672838691</v>
      </c>
      <c r="N1624" s="25"/>
      <c r="O1624" s="195"/>
    </row>
    <row r="1625" spans="1:15" ht="15.95" customHeight="1" x14ac:dyDescent="0.25">
      <c r="A1625" s="121"/>
      <c r="B1625" s="23"/>
      <c r="C1625" s="59" t="s">
        <v>19</v>
      </c>
      <c r="D1625" s="67" t="s">
        <v>20</v>
      </c>
      <c r="E1625" s="43"/>
      <c r="F1625" s="480"/>
      <c r="G1625" s="484"/>
      <c r="H1625" s="51">
        <f>IF(DAY(H1624)=DAY($H$1609),IF(WEEKDAY(EDATE(H1624,$D$1624),3)&lt;5,EDATE(H1624,$D$1624),WORKDAY(EDATE(H1624,$D$1624),1)),IF(WEEKDAY(EDATE($H$1609,$D$1624*COUNT($H$1609:H1624)),3)&lt;5,EDATE($H$1609,$D$1624*COUNT($H$1609:H1624)),WORKDAY(EDATE($H$1609,$D$1624*COUNT($H$1609:H1624)),1)))</f>
        <v>43941</v>
      </c>
      <c r="I1625" s="71" t="s">
        <v>13</v>
      </c>
      <c r="J1625" s="52">
        <v>404717.88194445265</v>
      </c>
      <c r="K1625" s="52">
        <f t="shared" si="149"/>
        <v>555555.55555554002</v>
      </c>
      <c r="L1625" s="53">
        <f t="shared" si="150"/>
        <v>11111111.111111363</v>
      </c>
      <c r="M1625" s="94">
        <f t="shared" si="151"/>
        <v>960273.43749999267</v>
      </c>
      <c r="N1625" s="25"/>
      <c r="O1625" s="195"/>
    </row>
    <row r="1626" spans="1:15" ht="15.95" customHeight="1" x14ac:dyDescent="0.25">
      <c r="A1626" s="121"/>
      <c r="B1626" s="23"/>
      <c r="C1626" s="59" t="s">
        <v>14</v>
      </c>
      <c r="D1626" s="68">
        <v>0.1</v>
      </c>
      <c r="E1626" s="43"/>
      <c r="F1626" s="480"/>
      <c r="G1626" s="484"/>
      <c r="H1626" s="51">
        <f>IF(DAY(H1625)=DAY($H$1609),IF(WEEKDAY(EDATE(H1625,$D$1624),3)&lt;5,EDATE(H1625,$D$1624),WORKDAY(EDATE(H1625,$D$1624),1)),IF(WEEKDAY(EDATE($H$1609,$D$1624*COUNT($H$1609:H1625)),3)&lt;5,EDATE($H$1609,$D$1624*COUNT($H$1609:H1625)),WORKDAY(EDATE($H$1609,$D$1624*COUNT($H$1609:H1625)),1)))</f>
        <v>43969</v>
      </c>
      <c r="I1626" s="71" t="s">
        <v>13</v>
      </c>
      <c r="J1626" s="52">
        <v>312191.35802469839</v>
      </c>
      <c r="K1626" s="52">
        <f t="shared" si="149"/>
        <v>555555.55555554002</v>
      </c>
      <c r="L1626" s="53">
        <f t="shared" si="150"/>
        <v>10555555.555555824</v>
      </c>
      <c r="M1626" s="94">
        <f t="shared" si="151"/>
        <v>867746.91358023835</v>
      </c>
      <c r="N1626" s="25"/>
      <c r="O1626" s="195"/>
    </row>
    <row r="1627" spans="1:15" ht="15.95" customHeight="1" x14ac:dyDescent="0.25">
      <c r="A1627" s="121"/>
      <c r="B1627" s="23"/>
      <c r="C1627" s="59" t="s">
        <v>31</v>
      </c>
      <c r="D1627" s="68"/>
      <c r="E1627" s="43"/>
      <c r="F1627" s="480"/>
      <c r="G1627" s="485"/>
      <c r="H1627" s="51">
        <f>IF(DAY(H1626)=DAY($H$1609),IF(WEEKDAY(EDATE(H1626,$D$1624),3)&lt;5,EDATE(H1626,$D$1624),WORKDAY(EDATE(H1626,$D$1624),1)),IF(WEEKDAY(EDATE($H$1609,$D$1624*COUNT($H$1609:H1626)),3)&lt;5,EDATE($H$1609,$D$1624*COUNT($H$1609:H1626)),WORKDAY(EDATE($H$1609,$D$1624*COUNT($H$1609:H1626)),1)))</f>
        <v>44000</v>
      </c>
      <c r="I1627" s="71" t="s">
        <v>13</v>
      </c>
      <c r="J1627" s="52">
        <v>328358.41049383546</v>
      </c>
      <c r="K1627" s="52">
        <f t="shared" si="149"/>
        <v>555555.55555554002</v>
      </c>
      <c r="L1627" s="53">
        <f t="shared" si="150"/>
        <v>10000000.000000285</v>
      </c>
      <c r="M1627" s="94">
        <f t="shared" si="151"/>
        <v>883913.96604937548</v>
      </c>
      <c r="N1627" s="25"/>
      <c r="O1627" s="195"/>
    </row>
    <row r="1628" spans="1:15" ht="15.95" customHeight="1" x14ac:dyDescent="0.25">
      <c r="A1628" s="121"/>
      <c r="B1628" s="23"/>
      <c r="C1628" s="59" t="s">
        <v>32</v>
      </c>
      <c r="D1628" s="68"/>
      <c r="E1628" s="44"/>
      <c r="F1628" s="480"/>
      <c r="G1628" s="485"/>
      <c r="H1628" s="51">
        <f>IF(DAY(H1627)=DAY($H$1609),IF(WEEKDAY(EDATE(H1627,$D$1624),3)&lt;5,EDATE(H1627,$D$1624),WORKDAY(EDATE(H1627,$D$1624),1)),IF(WEEKDAY(EDATE($H$1609,$D$1624*COUNT($H$1609:H1627)),3)&lt;5,EDATE($H$1609,$D$1624*COUNT($H$1609:H1627)),WORKDAY(EDATE($H$1609,$D$1624*COUNT($H$1609:H1627)),1)))</f>
        <v>44032</v>
      </c>
      <c r="I1628" s="71" t="s">
        <v>13</v>
      </c>
      <c r="J1628" s="52">
        <v>321111.1111111202</v>
      </c>
      <c r="K1628" s="52">
        <f t="shared" si="149"/>
        <v>555555.55555554002</v>
      </c>
      <c r="L1628" s="53">
        <f t="shared" si="150"/>
        <v>9444444.4444447458</v>
      </c>
      <c r="M1628" s="94">
        <f t="shared" si="151"/>
        <v>876666.66666666023</v>
      </c>
      <c r="N1628" s="25"/>
      <c r="O1628" s="195"/>
    </row>
    <row r="1629" spans="1:15" ht="15.95" customHeight="1" x14ac:dyDescent="0.25">
      <c r="A1629" s="121"/>
      <c r="B1629" s="23"/>
      <c r="C1629" s="59" t="s">
        <v>164</v>
      </c>
      <c r="D1629" s="68">
        <v>2.7777777777776999E-2</v>
      </c>
      <c r="E1629" s="24"/>
      <c r="F1629" s="480"/>
      <c r="G1629" s="485"/>
      <c r="H1629" s="51">
        <f>IF(DAY(H1628)=DAY($H$1609),IF(WEEKDAY(EDATE(H1628,$D$1624),3)&lt;5,EDATE(H1628,$D$1624),WORKDAY(EDATE(H1628,$D$1624),1)),IF(WEEKDAY(EDATE($H$1609,$D$1624*COUNT($H$1609:H1628)),3)&lt;5,EDATE($H$1609,$D$1624*COUNT($H$1609:H1628)),WORKDAY(EDATE($H$1609,$D$1624*COUNT($H$1609:H1628)),1)))</f>
        <v>44061</v>
      </c>
      <c r="I1629" s="71" t="s">
        <v>13</v>
      </c>
      <c r="J1629" s="52">
        <v>274839.89197531738</v>
      </c>
      <c r="K1629" s="52">
        <f t="shared" si="149"/>
        <v>555555.55555554002</v>
      </c>
      <c r="L1629" s="53">
        <f t="shared" si="150"/>
        <v>8888888.8888892066</v>
      </c>
      <c r="M1629" s="94">
        <f t="shared" si="151"/>
        <v>830395.4475308574</v>
      </c>
      <c r="N1629" s="25"/>
      <c r="O1629" s="195"/>
    </row>
    <row r="1630" spans="1:15" ht="15.95" customHeight="1" x14ac:dyDescent="0.25">
      <c r="A1630" s="121"/>
      <c r="B1630" s="23"/>
      <c r="C1630" s="60"/>
      <c r="D1630" s="110"/>
      <c r="E1630" s="24"/>
      <c r="F1630" s="480"/>
      <c r="G1630" s="485"/>
      <c r="H1630" s="51">
        <f>IF(DAY(H1629)=DAY($H$1609),IF(WEEKDAY(EDATE(H1629,$D$1624),3)&lt;5,EDATE(H1629,$D$1624),WORKDAY(EDATE(H1629,$D$1624),1)),IF(WEEKDAY(EDATE($H$1609,$D$1624*COUNT($H$1609:H1629)),3)&lt;5,EDATE($H$1609,$D$1624*COUNT($H$1609:H1629)),WORKDAY(EDATE($H$1609,$D$1624*COUNT($H$1609:H1629)),1)))</f>
        <v>44092</v>
      </c>
      <c r="I1630" s="71" t="s">
        <v>13</v>
      </c>
      <c r="J1630" s="52">
        <v>276512.3456790222</v>
      </c>
      <c r="K1630" s="52">
        <f t="shared" si="149"/>
        <v>555555.55555554002</v>
      </c>
      <c r="L1630" s="53">
        <f t="shared" si="150"/>
        <v>8333333.3333336664</v>
      </c>
      <c r="M1630" s="94">
        <f t="shared" si="151"/>
        <v>832067.90123456228</v>
      </c>
      <c r="N1630" s="25"/>
      <c r="O1630" s="195"/>
    </row>
    <row r="1631" spans="1:15" ht="15.95" customHeight="1" x14ac:dyDescent="0.25">
      <c r="A1631" s="121"/>
      <c r="B1631" s="23"/>
      <c r="C1631" s="24"/>
      <c r="D1631" s="24"/>
      <c r="E1631" s="24"/>
      <c r="F1631" s="480"/>
      <c r="G1631" s="485"/>
      <c r="H1631" s="51">
        <f>IF(DAY(H1630)=DAY($H$1609),IF(WEEKDAY(EDATE(H1630,$D$1624),3)&lt;5,EDATE(H1630,$D$1624),WORKDAY(EDATE(H1630,$D$1624),1)),IF(WEEKDAY(EDATE($H$1609,$D$1624*COUNT($H$1609:H1630)),3)&lt;5,EDATE($H$1609,$D$1624*COUNT($H$1609:H1630)),WORKDAY(EDATE($H$1609,$D$1624*COUNT($H$1609:H1630)),1)))</f>
        <v>44123</v>
      </c>
      <c r="I1631" s="71" t="s">
        <v>13</v>
      </c>
      <c r="J1631" s="52">
        <v>259230.32407408438</v>
      </c>
      <c r="K1631" s="52">
        <f t="shared" si="149"/>
        <v>555555.55555554002</v>
      </c>
      <c r="L1631" s="53">
        <f t="shared" si="150"/>
        <v>7777777.7777781263</v>
      </c>
      <c r="M1631" s="94">
        <f t="shared" si="151"/>
        <v>814785.87962962443</v>
      </c>
      <c r="N1631" s="25"/>
      <c r="O1631" s="195"/>
    </row>
    <row r="1632" spans="1:15" ht="15.95" customHeight="1" x14ac:dyDescent="0.25">
      <c r="A1632" s="121"/>
      <c r="B1632" s="23"/>
      <c r="C1632" s="24"/>
      <c r="D1632" s="24"/>
      <c r="E1632" s="24"/>
      <c r="F1632" s="480"/>
      <c r="G1632" s="485"/>
      <c r="H1632" s="51">
        <f>IF(DAY(H1631)=DAY($H$1609),IF(WEEKDAY(EDATE(H1631,$D$1624),3)&lt;5,EDATE(H1631,$D$1624),WORKDAY(EDATE(H1631,$D$1624),1)),IF(WEEKDAY(EDATE($H$1609,$D$1624*COUNT($H$1609:H1631)),3)&lt;5,EDATE($H$1609,$D$1624*COUNT($H$1609:H1631)),WORKDAY(EDATE($H$1609,$D$1624*COUNT($H$1609:H1631)),1)))</f>
        <v>44153</v>
      </c>
      <c r="I1632" s="71" t="s">
        <v>13</v>
      </c>
      <c r="J1632" s="52">
        <v>234143.51851852896</v>
      </c>
      <c r="K1632" s="52">
        <f t="shared" si="149"/>
        <v>555555.55555554002</v>
      </c>
      <c r="L1632" s="53">
        <f t="shared" si="150"/>
        <v>7222222.2222225862</v>
      </c>
      <c r="M1632" s="94">
        <f t="shared" si="151"/>
        <v>789699.07407406904</v>
      </c>
      <c r="N1632" s="25"/>
      <c r="O1632" s="195"/>
    </row>
    <row r="1633" spans="1:17" ht="15.95" customHeight="1" x14ac:dyDescent="0.25">
      <c r="A1633" s="121"/>
      <c r="B1633" s="23"/>
      <c r="C1633" s="24"/>
      <c r="D1633" s="24"/>
      <c r="E1633" s="24"/>
      <c r="F1633" s="480"/>
      <c r="G1633" s="485"/>
      <c r="H1633" s="51">
        <f>IF(DAY(H1632)=DAY($H$1609),IF(WEEKDAY(EDATE(H1632,$D$1624),3)&lt;5,EDATE(H1632,$D$1624),WORKDAY(EDATE(H1632,$D$1624),1)),IF(WEEKDAY(EDATE($H$1609,$D$1624*COUNT($H$1609:H1632)),3)&lt;5,EDATE($H$1609,$D$1624*COUNT($H$1609:H1632)),WORKDAY(EDATE($H$1609,$D$1624*COUNT($H$1609:H1632)),1)))</f>
        <v>44183</v>
      </c>
      <c r="I1633" s="71" t="s">
        <v>13</v>
      </c>
      <c r="J1633" s="52">
        <v>217418.9814814924</v>
      </c>
      <c r="K1633" s="52">
        <f t="shared" si="149"/>
        <v>555555.55555554002</v>
      </c>
      <c r="L1633" s="53">
        <f t="shared" si="150"/>
        <v>6666666.666667046</v>
      </c>
      <c r="M1633" s="94">
        <f t="shared" si="151"/>
        <v>772974.53703703242</v>
      </c>
      <c r="N1633" s="25"/>
      <c r="O1633" s="195"/>
    </row>
    <row r="1634" spans="1:17" ht="15.95" customHeight="1" x14ac:dyDescent="0.25">
      <c r="A1634" s="121"/>
      <c r="B1634" s="23"/>
      <c r="C1634" s="24"/>
      <c r="D1634" s="24"/>
      <c r="E1634" s="24"/>
      <c r="F1634" s="480"/>
      <c r="G1634" s="485"/>
      <c r="H1634" s="51">
        <f>IF(DAY(H1633)=DAY($H$1609),IF(WEEKDAY(EDATE(H1633,$D$1624),3)&lt;5,EDATE(H1633,$D$1624),WORKDAY(EDATE(H1633,$D$1624),1)),IF(WEEKDAY(EDATE($H$1609,$D$1624*COUNT($H$1609:H1633)),3)&lt;5,EDATE($H$1609,$D$1624*COUNT($H$1609:H1633)),WORKDAY(EDATE($H$1609,$D$1624*COUNT($H$1609:H1633)),1)))</f>
        <v>44214</v>
      </c>
      <c r="I1634" s="71" t="s">
        <v>13</v>
      </c>
      <c r="J1634" s="52">
        <v>207384.25925927103</v>
      </c>
      <c r="K1634" s="52">
        <f t="shared" si="149"/>
        <v>555555.55555554002</v>
      </c>
      <c r="L1634" s="53">
        <f t="shared" si="150"/>
        <v>6111111.1111115059</v>
      </c>
      <c r="M1634" s="94">
        <f t="shared" si="151"/>
        <v>762939.81481481111</v>
      </c>
      <c r="N1634" s="25"/>
      <c r="O1634" s="194" t="str">
        <f>+D1781</f>
        <v>ON Pyme CNV Garantizada</v>
      </c>
    </row>
    <row r="1635" spans="1:17" ht="20.100000000000001" customHeight="1" x14ac:dyDescent="0.25">
      <c r="A1635" s="121"/>
      <c r="B1635" s="23"/>
      <c r="C1635" s="24"/>
      <c r="D1635" s="24"/>
      <c r="E1635" s="24"/>
      <c r="F1635" s="480"/>
      <c r="G1635" s="485"/>
      <c r="H1635" s="51">
        <f>IF(DAY(H1634)=DAY($H$1609),IF(WEEKDAY(EDATE(H1634,$D$1624),3)&lt;5,EDATE(H1634,$D$1624),WORKDAY(EDATE(H1634,$D$1624),1)),IF(WEEKDAY(EDATE($H$1609,$D$1624*COUNT($H$1609:H1634)),3)&lt;5,EDATE($H$1609,$D$1624*COUNT($H$1609:H1634)),WORKDAY(EDATE($H$1609,$D$1624*COUNT($H$1609:H1634)),1)))</f>
        <v>44245</v>
      </c>
      <c r="I1635" s="71" t="s">
        <v>13</v>
      </c>
      <c r="J1635" s="52">
        <v>190102.23765433324</v>
      </c>
      <c r="K1635" s="52">
        <f t="shared" si="149"/>
        <v>555555.55555554002</v>
      </c>
      <c r="L1635" s="53">
        <f t="shared" si="150"/>
        <v>5555555.5555559658</v>
      </c>
      <c r="M1635" s="94">
        <f t="shared" si="151"/>
        <v>745657.79320987326</v>
      </c>
      <c r="N1635" s="25"/>
      <c r="O1635" s="195"/>
    </row>
    <row r="1636" spans="1:17" ht="15.95" customHeight="1" x14ac:dyDescent="0.25">
      <c r="A1636" s="121"/>
      <c r="B1636" s="23"/>
      <c r="C1636" s="24"/>
      <c r="D1636" s="24"/>
      <c r="E1636" s="24"/>
      <c r="F1636" s="480"/>
      <c r="G1636" s="485"/>
      <c r="H1636" s="51">
        <f>IF(DAY(H1635)=DAY($H$1609),IF(WEEKDAY(EDATE(H1635,$D$1624),3)&lt;5,EDATE(H1635,$D$1624),WORKDAY(EDATE(H1635,$D$1624),1)),IF(WEEKDAY(EDATE($H$1609,$D$1624*COUNT($H$1609:H1635)),3)&lt;5,EDATE($H$1609,$D$1624*COUNT($H$1609:H1635)),WORKDAY(EDATE($H$1609,$D$1624*COUNT($H$1609:H1635)),1)))</f>
        <v>44273</v>
      </c>
      <c r="I1636" s="71" t="s">
        <v>13</v>
      </c>
      <c r="J1636" s="52">
        <v>156095.67901235717</v>
      </c>
      <c r="K1636" s="52">
        <f t="shared" si="149"/>
        <v>555555.55555554002</v>
      </c>
      <c r="L1636" s="53">
        <f t="shared" si="150"/>
        <v>5000000.0000004256</v>
      </c>
      <c r="M1636" s="94">
        <f t="shared" si="151"/>
        <v>711651.23456789716</v>
      </c>
      <c r="N1636" s="25"/>
      <c r="O1636" s="194" t="str">
        <f>+IF(J1779="vencida",IF(D1781='Reporte - Oscuro'!$C$40,'Reporte - Oscuro'!$C$40&amp;" vencida",IF(D1781='Reporte - Oscuro'!$C$41,'Reporte - Oscuro'!$C$41&amp;" vencida",IF(D1781='Reporte - Oscuro'!$C$42,'Reporte - Oscuro'!$C$42&amp;" vencida",'Reporte - Oscuro'!$C$43&amp;" vencida"))),D1781&amp;" vigente")</f>
        <v>ON Pyme CNV Garantizada vencida</v>
      </c>
    </row>
    <row r="1637" spans="1:17" ht="15.95" customHeight="1" x14ac:dyDescent="0.25">
      <c r="A1637" s="121"/>
      <c r="B1637" s="23"/>
      <c r="C1637" s="24"/>
      <c r="D1637" s="24"/>
      <c r="E1637" s="24"/>
      <c r="F1637" s="480"/>
      <c r="G1637" s="485"/>
      <c r="H1637" s="51">
        <f>IF(DAY(H1636)=DAY($H$1609),IF(WEEKDAY(EDATE(H1636,$D$1624),3)&lt;5,EDATE(H1636,$D$1624),WORKDAY(EDATE(H1636,$D$1624),1)),IF(WEEKDAY(EDATE($H$1609,$D$1624*COUNT($H$1609:H1636)),3)&lt;5,EDATE($H$1609,$D$1624*COUNT($H$1609:H1636)),WORKDAY(EDATE($H$1609,$D$1624*COUNT($H$1609:H1636)),1)))</f>
        <v>44305</v>
      </c>
      <c r="I1637" s="71" t="s">
        <v>13</v>
      </c>
      <c r="J1637" s="52">
        <v>160555.55555556918</v>
      </c>
      <c r="K1637" s="52">
        <f t="shared" si="149"/>
        <v>555555.55555554002</v>
      </c>
      <c r="L1637" s="53">
        <f t="shared" si="150"/>
        <v>4444444.4444448855</v>
      </c>
      <c r="M1637" s="94">
        <f t="shared" si="151"/>
        <v>716111.11111110914</v>
      </c>
      <c r="N1637" s="25"/>
      <c r="O1637" s="195"/>
    </row>
    <row r="1638" spans="1:17" ht="15.95" customHeight="1" x14ac:dyDescent="0.25">
      <c r="A1638" s="121"/>
      <c r="B1638" s="23"/>
      <c r="C1638" s="24"/>
      <c r="D1638" s="24"/>
      <c r="E1638" s="24"/>
      <c r="F1638" s="480"/>
      <c r="G1638" s="485"/>
      <c r="H1638" s="51">
        <f>IF(DAY(H1637)=DAY($H$1609),IF(WEEKDAY(EDATE(H1637,$D$1624),3)&lt;5,EDATE(H1637,$D$1624),WORKDAY(EDATE(H1637,$D$1624),1)),IF(WEEKDAY(EDATE($H$1609,$D$1624*COUNT($H$1609:H1637)),3)&lt;5,EDATE($H$1609,$D$1624*COUNT($H$1609:H1637)),WORKDAY(EDATE($H$1609,$D$1624*COUNT($H$1609:H1637)),1)))</f>
        <v>44334</v>
      </c>
      <c r="I1638" s="71" t="s">
        <v>13</v>
      </c>
      <c r="J1638" s="52">
        <v>129336.41975309924</v>
      </c>
      <c r="K1638" s="52">
        <f t="shared" si="149"/>
        <v>555555.55555554002</v>
      </c>
      <c r="L1638" s="53">
        <f t="shared" si="150"/>
        <v>3888888.8888893453</v>
      </c>
      <c r="M1638" s="94">
        <f t="shared" si="151"/>
        <v>684891.97530863923</v>
      </c>
      <c r="N1638" s="25"/>
      <c r="O1638" s="195"/>
    </row>
    <row r="1639" spans="1:17" ht="15.95" customHeight="1" x14ac:dyDescent="0.25">
      <c r="A1639" s="121"/>
      <c r="B1639" s="23"/>
      <c r="C1639" s="24"/>
      <c r="D1639" s="24"/>
      <c r="E1639" s="24"/>
      <c r="F1639" s="480"/>
      <c r="G1639" s="485"/>
      <c r="H1639" s="51">
        <f>IF(DAY(H1638)=DAY($H$1609),IF(WEEKDAY(EDATE(H1638,$D$1624),3)&lt;5,EDATE(H1638,$D$1624),WORKDAY(EDATE(H1638,$D$1624),1)),IF(WEEKDAY(EDATE($H$1609,$D$1624*COUNT($H$1609:H1638)),3)&lt;5,EDATE($H$1609,$D$1624*COUNT($H$1609:H1638)),WORKDAY(EDATE($H$1609,$D$1624*COUNT($H$1609:H1638)),1)))</f>
        <v>44365</v>
      </c>
      <c r="I1639" s="71" t="s">
        <v>13</v>
      </c>
      <c r="J1639" s="52">
        <v>120974.15123458208</v>
      </c>
      <c r="K1639" s="52">
        <f t="shared" si="149"/>
        <v>555555.55555554002</v>
      </c>
      <c r="L1639" s="53">
        <f t="shared" si="150"/>
        <v>3333333.3333338052</v>
      </c>
      <c r="M1639" s="94">
        <f t="shared" si="151"/>
        <v>676529.70679012209</v>
      </c>
      <c r="N1639" s="25"/>
      <c r="O1639" s="195"/>
    </row>
    <row r="1640" spans="1:17" ht="15.95" customHeight="1" x14ac:dyDescent="0.25">
      <c r="A1640" s="121"/>
      <c r="B1640" s="23"/>
      <c r="C1640" s="24"/>
      <c r="D1640" s="24"/>
      <c r="E1640" s="24"/>
      <c r="F1640" s="480"/>
      <c r="G1640" s="485"/>
      <c r="H1640" s="51">
        <f>IF(DAY(H1639)=DAY($H$1609),IF(WEEKDAY(EDATE(H1639,$D$1624),3)&lt;5,EDATE(H1639,$D$1624),WORKDAY(EDATE(H1639,$D$1624),1)),IF(WEEKDAY(EDATE($H$1609,$D$1624*COUNT($H$1609:H1639)),3)&lt;5,EDATE($H$1609,$D$1624*COUNT($H$1609:H1639)),WORKDAY(EDATE($H$1609,$D$1624*COUNT($H$1609:H1639)),1)))</f>
        <v>44396</v>
      </c>
      <c r="I1640" s="71" t="s">
        <v>13</v>
      </c>
      <c r="J1640" s="52">
        <v>103692.12962964429</v>
      </c>
      <c r="K1640" s="52">
        <f t="shared" si="149"/>
        <v>555555.55555554002</v>
      </c>
      <c r="L1640" s="53">
        <f t="shared" si="150"/>
        <v>2777777.7777782651</v>
      </c>
      <c r="M1640" s="94">
        <f t="shared" si="151"/>
        <v>659247.68518518435</v>
      </c>
      <c r="N1640" s="25"/>
      <c r="O1640" s="195"/>
    </row>
    <row r="1641" spans="1:17" ht="15.95" customHeight="1" x14ac:dyDescent="0.25">
      <c r="A1641" s="121"/>
      <c r="B1641" s="23"/>
      <c r="C1641" s="24"/>
      <c r="D1641" s="24"/>
      <c r="E1641" s="24"/>
      <c r="F1641" s="480"/>
      <c r="G1641" s="485"/>
      <c r="H1641" s="51">
        <f>IF(DAY(H1640)=DAY($H$1609),IF(WEEKDAY(EDATE(H1640,$D$1624),3)&lt;5,EDATE(H1640,$D$1624),WORKDAY(EDATE(H1640,$D$1624),1)),IF(WEEKDAY(EDATE($H$1609,$D$1624*COUNT($H$1609:H1640)),3)&lt;5,EDATE($H$1609,$D$1624*COUNT($H$1609:H1640)),WORKDAY(EDATE($H$1609,$D$1624*COUNT($H$1609:H1640)),1)))</f>
        <v>44426</v>
      </c>
      <c r="I1641" s="71" t="s">
        <v>13</v>
      </c>
      <c r="J1641" s="52">
        <v>83622.685185199836</v>
      </c>
      <c r="K1641" s="52">
        <f t="shared" si="149"/>
        <v>555555.55555554002</v>
      </c>
      <c r="L1641" s="53">
        <f t="shared" si="150"/>
        <v>2222222.2222227249</v>
      </c>
      <c r="M1641" s="94">
        <f t="shared" si="151"/>
        <v>639178.24074073986</v>
      </c>
      <c r="N1641" s="25"/>
      <c r="O1641" s="197">
        <f>+M1784</f>
        <v>-5000000</v>
      </c>
      <c r="P1641" s="197">
        <f>-M1784</f>
        <v>5000000</v>
      </c>
      <c r="Q1641" s="197"/>
    </row>
    <row r="1642" spans="1:17" ht="15.95" customHeight="1" x14ac:dyDescent="0.25">
      <c r="A1642" s="121"/>
      <c r="B1642" s="23"/>
      <c r="C1642" s="24"/>
      <c r="D1642" s="24"/>
      <c r="E1642" s="24"/>
      <c r="F1642" s="480"/>
      <c r="G1642" s="485"/>
      <c r="H1642" s="51">
        <f>IF(DAY(H1641)=DAY($H$1609),IF(WEEKDAY(EDATE(H1641,$D$1624),3)&lt;5,EDATE(H1641,$D$1624),WORKDAY(EDATE(H1641,$D$1624),1)),IF(WEEKDAY(EDATE($H$1609,$D$1624*COUNT($H$1609:H1641)),3)&lt;5,EDATE($H$1609,$D$1624*COUNT($H$1609:H1641)),WORKDAY(EDATE($H$1609,$D$1624*COUNT($H$1609:H1641)),1)))</f>
        <v>44459</v>
      </c>
      <c r="I1642" s="71" t="s">
        <v>13</v>
      </c>
      <c r="J1642" s="52">
        <v>73587.962962979596</v>
      </c>
      <c r="K1642" s="52">
        <f t="shared" si="149"/>
        <v>555555.55555554002</v>
      </c>
      <c r="L1642" s="53">
        <f t="shared" si="150"/>
        <v>1666666.6666671848</v>
      </c>
      <c r="M1642" s="94">
        <f t="shared" si="151"/>
        <v>629143.51851851959</v>
      </c>
      <c r="N1642" s="25"/>
      <c r="O1642" s="197">
        <f t="shared" ref="O1642:O1650" si="152">+M1785+O1641</f>
        <v>-3556166.6666666665</v>
      </c>
      <c r="P1642" s="197">
        <f t="shared" ref="P1642:P1650" si="153">+(M1785/(1+$J$1797)^((H1785-$H$1784)/365))/$P$1641</f>
        <v>0.28876666666666667</v>
      </c>
      <c r="Q1642" s="197">
        <f t="shared" ref="Q1642:Q1650" si="154">+P1642*((H1785-$H$1784)/365)</f>
        <v>9.7310410958904109E-2</v>
      </c>
    </row>
    <row r="1643" spans="1:17" ht="15.95" customHeight="1" x14ac:dyDescent="0.25">
      <c r="A1643" s="121"/>
      <c r="B1643" s="23"/>
      <c r="C1643" s="24"/>
      <c r="D1643" s="24"/>
      <c r="E1643" s="24"/>
      <c r="F1643" s="480"/>
      <c r="G1643" s="485"/>
      <c r="H1643" s="51">
        <f>IF(DAY(H1642)=DAY($H$1609),IF(WEEKDAY(EDATE(H1642,$D$1624),3)&lt;5,EDATE(H1642,$D$1624),WORKDAY(EDATE(H1642,$D$1624),1)),IF(WEEKDAY(EDATE($H$1609,$D$1624*COUNT($H$1609:H1642)),3)&lt;5,EDATE($H$1609,$D$1624*COUNT($H$1609:H1642)),WORKDAY(EDATE($H$1609,$D$1624*COUNT($H$1609:H1642)),1)))</f>
        <v>44487</v>
      </c>
      <c r="I1643" s="71" t="s">
        <v>13</v>
      </c>
      <c r="J1643" s="52">
        <v>46828.703703718253</v>
      </c>
      <c r="K1643" s="52">
        <f t="shared" si="149"/>
        <v>555555.55555554002</v>
      </c>
      <c r="L1643" s="53">
        <f t="shared" si="150"/>
        <v>1111111.1111116447</v>
      </c>
      <c r="M1643" s="94">
        <f t="shared" si="151"/>
        <v>602384.25925925828</v>
      </c>
      <c r="N1643" s="25"/>
      <c r="O1643" s="197">
        <f t="shared" si="152"/>
        <v>-2136304.0104166665</v>
      </c>
      <c r="P1643" s="197">
        <f t="shared" si="153"/>
        <v>0.28397253124999999</v>
      </c>
      <c r="Q1643" s="197">
        <f t="shared" si="154"/>
        <v>0.18905568518835617</v>
      </c>
    </row>
    <row r="1644" spans="1:17" ht="15.95" customHeight="1" x14ac:dyDescent="0.25">
      <c r="A1644" s="121"/>
      <c r="B1644" s="23"/>
      <c r="C1644" s="24"/>
      <c r="D1644" s="24"/>
      <c r="E1644" s="24"/>
      <c r="F1644" s="480"/>
      <c r="G1644" s="485"/>
      <c r="H1644" s="51">
        <f>IF(DAY(H1643)=DAY($H$1609),IF(WEEKDAY(EDATE(H1643,$D$1624),3)&lt;5,EDATE(H1643,$D$1624),WORKDAY(EDATE(H1643,$D$1624),1)),IF(WEEKDAY(EDATE($H$1609,$D$1624*COUNT($H$1609:H1643)),3)&lt;5,EDATE($H$1609,$D$1624*COUNT($H$1609:H1643)),WORKDAY(EDATE($H$1609,$D$1624*COUNT($H$1609:H1643)),1)))</f>
        <v>44518</v>
      </c>
      <c r="I1644" s="71" t="s">
        <v>13</v>
      </c>
      <c r="J1644" s="52">
        <v>34564.043209893134</v>
      </c>
      <c r="K1644" s="52">
        <f t="shared" si="149"/>
        <v>555555.55555554002</v>
      </c>
      <c r="L1644" s="53">
        <f t="shared" si="150"/>
        <v>555555.55555610463</v>
      </c>
      <c r="M1644" s="94">
        <f t="shared" si="151"/>
        <v>590119.59876543318</v>
      </c>
      <c r="N1644" s="25"/>
      <c r="O1644" s="197">
        <f t="shared" si="152"/>
        <v>-755444.78125</v>
      </c>
      <c r="P1644" s="197">
        <f t="shared" si="153"/>
        <v>0.27617184583333332</v>
      </c>
      <c r="Q1644" s="197">
        <f t="shared" si="154"/>
        <v>0.27617184583333332</v>
      </c>
    </row>
    <row r="1645" spans="1:17" ht="15.95" customHeight="1" x14ac:dyDescent="0.25">
      <c r="A1645" s="121"/>
      <c r="B1645" s="23"/>
      <c r="C1645" s="24"/>
      <c r="D1645" s="24"/>
      <c r="E1645" s="24"/>
      <c r="F1645" s="480"/>
      <c r="G1645" s="485"/>
      <c r="H1645" s="51">
        <f>IF(DAY(H1644)=DAY($H$1609),IF(WEEKDAY(EDATE(H1644,$D$1624),3)&lt;5,EDATE(H1644,$D$1624),WORKDAY(EDATE(H1644,$D$1624),1)),IF(WEEKDAY(EDATE($H$1609,$D$1624*COUNT($H$1609:H1644)),3)&lt;5,EDATE($H$1609,$D$1624*COUNT($H$1609:H1644)),WORKDAY(EDATE($H$1609,$D$1624*COUNT($H$1609:H1644)),1)))</f>
        <v>44550</v>
      </c>
      <c r="I1645" s="71" t="s">
        <v>13</v>
      </c>
      <c r="J1645" s="52">
        <v>17839.506172857135</v>
      </c>
      <c r="K1645" s="52">
        <f t="shared" si="149"/>
        <v>555555.55555554002</v>
      </c>
      <c r="L1645" s="53">
        <f t="shared" si="150"/>
        <v>5.6461431086063385E-7</v>
      </c>
      <c r="M1645" s="94">
        <f t="shared" si="151"/>
        <v>573395.06172839715</v>
      </c>
      <c r="N1645" s="25"/>
      <c r="O1645" s="197">
        <f t="shared" si="152"/>
        <v>466570.0243055555</v>
      </c>
      <c r="P1645" s="197">
        <f t="shared" si="153"/>
        <v>0.24440296111111109</v>
      </c>
      <c r="Q1645" s="197">
        <f t="shared" si="154"/>
        <v>0.32609381386605779</v>
      </c>
    </row>
    <row r="1646" spans="1:17" ht="15.95" customHeight="1" x14ac:dyDescent="0.25">
      <c r="A1646" s="121"/>
      <c r="B1646" s="23"/>
      <c r="C1646" s="24"/>
      <c r="D1646" s="24"/>
      <c r="E1646" s="24"/>
      <c r="F1646" s="480"/>
      <c r="G1646" s="485"/>
      <c r="H1646" s="54"/>
      <c r="I1646" s="104"/>
      <c r="J1646" s="105"/>
      <c r="K1646" s="105"/>
      <c r="L1646" s="106"/>
      <c r="M1646" s="109"/>
      <c r="N1646" s="25"/>
      <c r="O1646" s="197">
        <f t="shared" si="152"/>
        <v>1431593.5243055555</v>
      </c>
      <c r="P1646" s="197">
        <f t="shared" si="153"/>
        <v>0.1930047</v>
      </c>
      <c r="Q1646" s="197">
        <f t="shared" si="154"/>
        <v>0.32202702</v>
      </c>
    </row>
    <row r="1647" spans="1:17" ht="15.95" customHeight="1" x14ac:dyDescent="0.25">
      <c r="A1647" s="121"/>
      <c r="B1647" s="23"/>
      <c r="C1647" s="24"/>
      <c r="D1647" s="24"/>
      <c r="E1647" s="24"/>
      <c r="F1647" s="480"/>
      <c r="G1647" s="485"/>
      <c r="H1647" s="109"/>
      <c r="I1647" s="109"/>
      <c r="J1647" s="109"/>
      <c r="K1647" s="109"/>
      <c r="L1647" s="109"/>
      <c r="M1647" s="109"/>
      <c r="N1647" s="25"/>
      <c r="O1647" s="197">
        <f t="shared" si="152"/>
        <v>2261410.217013889</v>
      </c>
      <c r="P1647" s="197">
        <f t="shared" si="153"/>
        <v>0.16596333854166664</v>
      </c>
      <c r="Q1647" s="197">
        <f t="shared" si="154"/>
        <v>0.33283606523972603</v>
      </c>
    </row>
    <row r="1648" spans="1:17" ht="15.95" customHeight="1" x14ac:dyDescent="0.25">
      <c r="A1648" s="121"/>
      <c r="B1648" s="23"/>
      <c r="C1648" s="24"/>
      <c r="D1648" s="24"/>
      <c r="E1648" s="24"/>
      <c r="F1648" s="480"/>
      <c r="G1648" s="485"/>
      <c r="H1648" s="656" t="s">
        <v>43</v>
      </c>
      <c r="I1648" s="656"/>
      <c r="J1648" s="92">
        <v>0</v>
      </c>
      <c r="K1648" s="92"/>
      <c r="L1648" s="24"/>
      <c r="M1648" s="24"/>
      <c r="N1648" s="25"/>
      <c r="O1648" s="197">
        <f t="shared" si="152"/>
        <v>3019317.588541667</v>
      </c>
      <c r="P1648" s="197">
        <f t="shared" si="153"/>
        <v>0.15158147430555555</v>
      </c>
      <c r="Q1648" s="197">
        <f t="shared" si="154"/>
        <v>0.35424382899353118</v>
      </c>
    </row>
    <row r="1649" spans="1:17" ht="15.95" customHeight="1" x14ac:dyDescent="0.25">
      <c r="A1649" s="121"/>
      <c r="B1649" s="23"/>
      <c r="C1649" s="24"/>
      <c r="D1649" s="24"/>
      <c r="E1649" s="24"/>
      <c r="F1649" s="480"/>
      <c r="G1649" s="485"/>
      <c r="H1649" s="657"/>
      <c r="I1649" s="657"/>
      <c r="J1649" s="392"/>
      <c r="K1649" s="24"/>
      <c r="L1649" s="33"/>
      <c r="M1649" s="33"/>
      <c r="N1649" s="25"/>
      <c r="O1649" s="197">
        <f t="shared" si="152"/>
        <v>3709776.072916667</v>
      </c>
      <c r="P1649" s="197">
        <f t="shared" si="153"/>
        <v>0.138091696875</v>
      </c>
      <c r="Q1649" s="197">
        <f t="shared" si="154"/>
        <v>0.36849674727739723</v>
      </c>
    </row>
    <row r="1650" spans="1:17" ht="15.95" customHeight="1" x14ac:dyDescent="0.25">
      <c r="A1650" s="121"/>
      <c r="B1650" s="23"/>
      <c r="C1650" s="24"/>
      <c r="D1650" s="24"/>
      <c r="E1650" s="24"/>
      <c r="F1650" s="480"/>
      <c r="G1650" s="485"/>
      <c r="H1650" s="24"/>
      <c r="I1650" s="24"/>
      <c r="J1650" s="24"/>
      <c r="K1650" s="24"/>
      <c r="L1650" s="24"/>
      <c r="M1650" s="24"/>
      <c r="N1650" s="25"/>
      <c r="O1650" s="197">
        <f t="shared" si="152"/>
        <v>4333843.600694445</v>
      </c>
      <c r="P1650" s="197">
        <f t="shared" si="153"/>
        <v>0.12481350555555555</v>
      </c>
      <c r="Q1650" s="197">
        <f t="shared" si="154"/>
        <v>0.37478247147640792</v>
      </c>
    </row>
    <row r="1651" spans="1:17" ht="15.95" customHeight="1" x14ac:dyDescent="0.25">
      <c r="A1651" s="121"/>
      <c r="B1651" s="23"/>
      <c r="C1651" s="24"/>
      <c r="D1651" s="24"/>
      <c r="E1651" s="24"/>
      <c r="F1651" s="480"/>
      <c r="G1651" s="485"/>
      <c r="H1651" s="638" t="s">
        <v>44</v>
      </c>
      <c r="I1651" s="639"/>
      <c r="J1651" s="639"/>
      <c r="K1651" s="639"/>
      <c r="L1651" s="639"/>
      <c r="M1651" s="640"/>
      <c r="N1651" s="25"/>
      <c r="O1651" s="197"/>
    </row>
    <row r="1652" spans="1:17" ht="15.95" customHeight="1" x14ac:dyDescent="0.25">
      <c r="A1652" s="121"/>
      <c r="B1652" s="23"/>
      <c r="C1652" s="24"/>
      <c r="D1652" s="24"/>
      <c r="E1652" s="24"/>
      <c r="F1652" s="480"/>
      <c r="G1652" s="485"/>
      <c r="H1652" s="23"/>
      <c r="I1652" s="24"/>
      <c r="J1652" s="24"/>
      <c r="K1652" s="24"/>
      <c r="L1652" s="24"/>
      <c r="M1652" s="25"/>
      <c r="N1652" s="25"/>
      <c r="O1652" s="197"/>
      <c r="P1652" s="37"/>
    </row>
    <row r="1653" spans="1:17" ht="15.95" customHeight="1" x14ac:dyDescent="0.25">
      <c r="A1653" s="121"/>
      <c r="B1653" s="23"/>
      <c r="C1653" s="24"/>
      <c r="D1653" s="24"/>
      <c r="E1653" s="24"/>
      <c r="F1653" s="480"/>
      <c r="G1653" s="485"/>
      <c r="H1653" s="23"/>
      <c r="I1653" s="24"/>
      <c r="J1653" s="24"/>
      <c r="K1653" s="24"/>
      <c r="L1653" s="24"/>
      <c r="M1653" s="25"/>
      <c r="N1653" s="25"/>
      <c r="O1653" s="197"/>
    </row>
    <row r="1654" spans="1:17" ht="15.95" customHeight="1" x14ac:dyDescent="0.25">
      <c r="A1654" s="121"/>
      <c r="B1654" s="23"/>
      <c r="C1654" s="24"/>
      <c r="D1654" s="24"/>
      <c r="E1654" s="24"/>
      <c r="F1654" s="480"/>
      <c r="G1654" s="485"/>
      <c r="H1654" s="96"/>
      <c r="I1654" s="35"/>
      <c r="J1654" s="24"/>
      <c r="K1654" s="24"/>
      <c r="L1654" s="24"/>
      <c r="M1654" s="25"/>
      <c r="N1654" s="25"/>
      <c r="O1654" s="195"/>
    </row>
    <row r="1655" spans="1:17" ht="15.95" customHeight="1" x14ac:dyDescent="0.25">
      <c r="A1655" s="121"/>
      <c r="B1655" s="23"/>
      <c r="C1655" s="24"/>
      <c r="D1655" s="24"/>
      <c r="E1655" s="24"/>
      <c r="F1655" s="480"/>
      <c r="G1655" s="485"/>
      <c r="H1655" s="23"/>
      <c r="I1655" s="24"/>
      <c r="J1655" s="24"/>
      <c r="K1655" s="24"/>
      <c r="L1655" s="24"/>
      <c r="M1655" s="25"/>
      <c r="N1655" s="25"/>
      <c r="O1655" s="195"/>
    </row>
    <row r="1656" spans="1:17" ht="15.95" customHeight="1" x14ac:dyDescent="0.25">
      <c r="A1656" s="121"/>
      <c r="B1656" s="23"/>
      <c r="C1656" s="24"/>
      <c r="D1656" s="24"/>
      <c r="E1656" s="24"/>
      <c r="F1656" s="480"/>
      <c r="G1656" s="485"/>
      <c r="H1656" s="23"/>
      <c r="I1656" s="24"/>
      <c r="J1656" s="24"/>
      <c r="K1656" s="24"/>
      <c r="L1656" s="24"/>
      <c r="M1656" s="25"/>
      <c r="N1656" s="25"/>
      <c r="O1656" s="195"/>
    </row>
    <row r="1657" spans="1:17" ht="15.95" customHeight="1" x14ac:dyDescent="0.25">
      <c r="A1657" s="121"/>
      <c r="B1657" s="23"/>
      <c r="C1657" s="24"/>
      <c r="D1657" s="24"/>
      <c r="E1657" s="24"/>
      <c r="F1657" s="480"/>
      <c r="G1657" s="485"/>
      <c r="H1657" s="23"/>
      <c r="I1657" s="24"/>
      <c r="J1657" s="24"/>
      <c r="K1657" s="24"/>
      <c r="L1657" s="24"/>
      <c r="M1657" s="25"/>
      <c r="N1657" s="25"/>
      <c r="O1657" s="195"/>
    </row>
    <row r="1658" spans="1:17" ht="15.95" customHeight="1" x14ac:dyDescent="0.25">
      <c r="A1658" s="121"/>
      <c r="B1658" s="23"/>
      <c r="C1658" s="24"/>
      <c r="D1658" s="24"/>
      <c r="E1658" s="24"/>
      <c r="F1658" s="480"/>
      <c r="G1658" s="485"/>
      <c r="H1658" s="23"/>
      <c r="I1658" s="24"/>
      <c r="J1658" s="24"/>
      <c r="K1658" s="24"/>
      <c r="L1658" s="24"/>
      <c r="M1658" s="25"/>
      <c r="N1658" s="25"/>
      <c r="O1658" s="195"/>
    </row>
    <row r="1659" spans="1:17" ht="15.95" customHeight="1" x14ac:dyDescent="0.25">
      <c r="A1659" s="121"/>
      <c r="B1659" s="23"/>
      <c r="C1659" s="24"/>
      <c r="D1659" s="24"/>
      <c r="E1659" s="24"/>
      <c r="F1659" s="480"/>
      <c r="G1659" s="485"/>
      <c r="H1659" s="23"/>
      <c r="I1659" s="24"/>
      <c r="J1659" s="24"/>
      <c r="K1659" s="24"/>
      <c r="L1659" s="24"/>
      <c r="M1659" s="25"/>
      <c r="N1659" s="25"/>
      <c r="O1659" s="195"/>
    </row>
    <row r="1660" spans="1:17" ht="15.95" customHeight="1" x14ac:dyDescent="0.25">
      <c r="A1660" s="121"/>
      <c r="B1660" s="23"/>
      <c r="C1660" s="24"/>
      <c r="D1660" s="24"/>
      <c r="E1660" s="24"/>
      <c r="F1660" s="480"/>
      <c r="G1660" s="485"/>
      <c r="H1660" s="23"/>
      <c r="I1660" s="24"/>
      <c r="J1660" s="24"/>
      <c r="K1660" s="24"/>
      <c r="L1660" s="24"/>
      <c r="M1660" s="25"/>
      <c r="N1660" s="25"/>
      <c r="O1660" s="195"/>
    </row>
    <row r="1661" spans="1:17" ht="15.95" customHeight="1" x14ac:dyDescent="0.25">
      <c r="A1661" s="121"/>
      <c r="B1661" s="23"/>
      <c r="C1661" s="24"/>
      <c r="D1661" s="24"/>
      <c r="E1661" s="24"/>
      <c r="F1661" s="480"/>
      <c r="G1661" s="485"/>
      <c r="H1661" s="23"/>
      <c r="I1661" s="24"/>
      <c r="J1661" s="24"/>
      <c r="K1661" s="24"/>
      <c r="L1661" s="24"/>
      <c r="M1661" s="25"/>
      <c r="N1661" s="25"/>
      <c r="O1661" s="195"/>
    </row>
    <row r="1662" spans="1:17" ht="15.95" customHeight="1" x14ac:dyDescent="0.25">
      <c r="A1662" s="121"/>
      <c r="B1662" s="23"/>
      <c r="C1662" s="24"/>
      <c r="D1662" s="24"/>
      <c r="E1662" s="24"/>
      <c r="F1662" s="480"/>
      <c r="G1662" s="485"/>
      <c r="H1662" s="23"/>
      <c r="I1662" s="24"/>
      <c r="J1662" s="24"/>
      <c r="K1662" s="24"/>
      <c r="L1662" s="24"/>
      <c r="M1662" s="25"/>
      <c r="N1662" s="25"/>
      <c r="O1662" s="195"/>
    </row>
    <row r="1663" spans="1:17" ht="15.95" customHeight="1" x14ac:dyDescent="0.25">
      <c r="A1663" s="121"/>
      <c r="B1663" s="23"/>
      <c r="C1663" s="24"/>
      <c r="D1663" s="24"/>
      <c r="E1663" s="24"/>
      <c r="F1663" s="480"/>
      <c r="G1663" s="485"/>
      <c r="H1663" s="23"/>
      <c r="I1663" s="24"/>
      <c r="J1663" s="24"/>
      <c r="K1663" s="24"/>
      <c r="L1663" s="24"/>
      <c r="M1663" s="25"/>
      <c r="N1663" s="25"/>
      <c r="O1663" s="195"/>
    </row>
    <row r="1664" spans="1:17" ht="15.95" customHeight="1" x14ac:dyDescent="0.25">
      <c r="A1664" s="121"/>
      <c r="B1664" s="23"/>
      <c r="C1664" s="24"/>
      <c r="D1664" s="24"/>
      <c r="E1664" s="24"/>
      <c r="F1664" s="480"/>
      <c r="G1664" s="485"/>
      <c r="H1664" s="26"/>
      <c r="I1664" s="27"/>
      <c r="J1664" s="27"/>
      <c r="K1664" s="27"/>
      <c r="L1664" s="27"/>
      <c r="M1664" s="28"/>
      <c r="N1664" s="25"/>
      <c r="O1664" s="195"/>
    </row>
    <row r="1665" spans="1:17" ht="15.95" customHeight="1" x14ac:dyDescent="0.25">
      <c r="A1665" s="121"/>
      <c r="B1665" s="26"/>
      <c r="C1665" s="27"/>
      <c r="D1665" s="27"/>
      <c r="E1665" s="27"/>
      <c r="F1665" s="481"/>
      <c r="G1665" s="486"/>
      <c r="H1665" s="27"/>
      <c r="I1665" s="27"/>
      <c r="J1665" s="27"/>
      <c r="K1665" s="27"/>
      <c r="L1665" s="27"/>
      <c r="M1665" s="27"/>
      <c r="N1665" s="28"/>
      <c r="O1665" s="195"/>
    </row>
    <row r="1666" spans="1:17" ht="15.95" customHeight="1" x14ac:dyDescent="0.25">
      <c r="A1666" s="122" t="s">
        <v>128</v>
      </c>
      <c r="B1666" s="661" t="s">
        <v>70</v>
      </c>
      <c r="C1666" s="662"/>
      <c r="D1666" s="662"/>
      <c r="E1666" s="662"/>
      <c r="F1666" s="662"/>
      <c r="G1666" s="662"/>
      <c r="H1666" s="662"/>
      <c r="I1666" s="662"/>
      <c r="J1666" s="662"/>
      <c r="K1666" s="662"/>
      <c r="L1666" s="662"/>
      <c r="M1666" s="662"/>
      <c r="N1666" s="663"/>
      <c r="O1666" s="195"/>
    </row>
    <row r="1667" spans="1:17" ht="15.95" customHeight="1" x14ac:dyDescent="0.25">
      <c r="A1667" s="121"/>
      <c r="B1667" s="23"/>
      <c r="C1667" s="24"/>
      <c r="D1667" s="24"/>
      <c r="E1667" s="24"/>
      <c r="F1667" s="483"/>
      <c r="G1667" s="484"/>
      <c r="H1667" s="31"/>
      <c r="I1667" s="31"/>
      <c r="J1667" s="24"/>
      <c r="K1667" s="24"/>
      <c r="L1667" s="24"/>
      <c r="M1667" s="24"/>
      <c r="N1667" s="25"/>
      <c r="O1667" s="195"/>
    </row>
    <row r="1668" spans="1:17" ht="15.95" customHeight="1" x14ac:dyDescent="0.25">
      <c r="A1668" s="121"/>
      <c r="B1668" s="23"/>
      <c r="C1668" s="638" t="s">
        <v>37</v>
      </c>
      <c r="D1668" s="639"/>
      <c r="E1668" s="640"/>
      <c r="F1668" s="483"/>
      <c r="G1668" s="484"/>
      <c r="H1668" s="641" t="s">
        <v>28</v>
      </c>
      <c r="I1668" s="642"/>
      <c r="J1668" s="39">
        <f>+$D$1687-SUMIF($H$1674:$H$1684,"&lt;"&amp;$M$4,$K$1674:$K$1684)</f>
        <v>0</v>
      </c>
      <c r="K1668" s="24"/>
      <c r="L1668" s="24"/>
      <c r="M1668" s="24"/>
      <c r="N1668" s="25"/>
      <c r="O1668" s="195"/>
    </row>
    <row r="1669" spans="1:17" ht="15.95" customHeight="1" x14ac:dyDescent="0.25">
      <c r="A1669" s="121"/>
      <c r="B1669" s="23"/>
      <c r="C1669" s="58"/>
      <c r="D1669" s="664"/>
      <c r="E1669" s="665"/>
      <c r="F1669" s="483"/>
      <c r="G1669" s="484"/>
      <c r="H1669" s="645" t="s">
        <v>29</v>
      </c>
      <c r="I1669" s="646"/>
      <c r="J1669" s="40">
        <f>+$D$1686</f>
        <v>44191</v>
      </c>
      <c r="K1669" s="24"/>
      <c r="L1669" s="24"/>
      <c r="M1669" s="24"/>
      <c r="N1669" s="25"/>
      <c r="O1669" s="194" t="str">
        <f>+D1821</f>
        <v>BANCO SUPERVIELLE S.A</v>
      </c>
    </row>
    <row r="1670" spans="1:17" ht="20.100000000000001" customHeight="1" x14ac:dyDescent="0.25">
      <c r="A1670" s="121"/>
      <c r="B1670" s="23"/>
      <c r="C1670" s="59" t="s">
        <v>25</v>
      </c>
      <c r="D1670" s="658"/>
      <c r="E1670" s="659"/>
      <c r="F1670" s="483"/>
      <c r="G1670" s="484"/>
      <c r="H1670" s="649" t="s">
        <v>30</v>
      </c>
      <c r="I1670" s="650"/>
      <c r="J1670" s="42" t="str">
        <f t="array" ref="J1670">+IF(H1683&gt;=M4,MIN(IF($H$1674:$H$1684&gt;$M$4,$H$1674:$H$1684,"")),"vencida")</f>
        <v>vencida</v>
      </c>
      <c r="K1670" s="24"/>
      <c r="L1670" s="24"/>
      <c r="M1670" s="24"/>
      <c r="N1670" s="25"/>
      <c r="O1670" s="195"/>
    </row>
    <row r="1671" spans="1:17" ht="15.95" customHeight="1" x14ac:dyDescent="0.25">
      <c r="A1671" s="121"/>
      <c r="B1671" s="23"/>
      <c r="C1671" s="59" t="s">
        <v>6</v>
      </c>
      <c r="D1671" s="658" t="s">
        <v>71</v>
      </c>
      <c r="E1671" s="659"/>
      <c r="F1671" s="483"/>
      <c r="G1671" s="484"/>
      <c r="H1671" s="24"/>
      <c r="I1671" s="24"/>
      <c r="J1671" s="24"/>
      <c r="K1671" s="24"/>
      <c r="L1671" s="24"/>
      <c r="M1671" s="24"/>
      <c r="N1671" s="25"/>
      <c r="O1671" s="194" t="str">
        <f>+IF(J1819="vencida",IF(D1821='Reporte - Oscuro'!$C$40,'Reporte - Oscuro'!$C$40&amp;" vencida",IF(D1821='Reporte - Oscuro'!$C$41,'Reporte - Oscuro'!$C$41&amp;" vencida",IF(D1821='Reporte - Oscuro'!$C$42,'Reporte - Oscuro'!$C$42&amp;" vencida",'Reporte - Oscuro'!$C$43&amp;" vencida"))),D1821&amp;" vigente")</f>
        <v>BANCO SUPERVIELLE S.A vigente</v>
      </c>
    </row>
    <row r="1672" spans="1:17" ht="15.95" customHeight="1" x14ac:dyDescent="0.25">
      <c r="A1672" s="121"/>
      <c r="B1672" s="23"/>
      <c r="C1672" s="59" t="s">
        <v>8</v>
      </c>
      <c r="D1672" s="658" t="s">
        <v>17</v>
      </c>
      <c r="E1672" s="659"/>
      <c r="F1672" s="483"/>
      <c r="G1672" s="484"/>
      <c r="H1672" s="651" t="s">
        <v>41</v>
      </c>
      <c r="I1672" s="652"/>
      <c r="J1672" s="652"/>
      <c r="K1672" s="652"/>
      <c r="L1672" s="653"/>
      <c r="M1672" s="24"/>
      <c r="N1672" s="25"/>
      <c r="O1672" s="195"/>
    </row>
    <row r="1673" spans="1:17" ht="15.95" customHeight="1" x14ac:dyDescent="0.25">
      <c r="A1673" s="121"/>
      <c r="B1673" s="23"/>
      <c r="C1673" s="59" t="s">
        <v>33</v>
      </c>
      <c r="D1673" s="73" t="s">
        <v>325</v>
      </c>
      <c r="E1673" s="273">
        <v>0.25</v>
      </c>
      <c r="F1673" s="483">
        <f>+E1673*$J$1668</f>
        <v>0</v>
      </c>
      <c r="G1673" s="484"/>
      <c r="H1673" s="81" t="s">
        <v>0</v>
      </c>
      <c r="I1673" s="82" t="s">
        <v>2</v>
      </c>
      <c r="J1673" s="82" t="s">
        <v>3</v>
      </c>
      <c r="K1673" s="82" t="s">
        <v>4</v>
      </c>
      <c r="L1673" s="83" t="s">
        <v>5</v>
      </c>
      <c r="M1673" s="82" t="s">
        <v>44</v>
      </c>
      <c r="N1673" s="25"/>
      <c r="O1673" s="195"/>
    </row>
    <row r="1674" spans="1:17" ht="15.95" customHeight="1" x14ac:dyDescent="0.25">
      <c r="A1674" s="121"/>
      <c r="B1674" s="23"/>
      <c r="C1674" s="278" t="s">
        <v>33</v>
      </c>
      <c r="D1674" s="73" t="s">
        <v>309</v>
      </c>
      <c r="E1674" s="273">
        <v>0.75</v>
      </c>
      <c r="F1674" s="483">
        <f>+E1674*$J$1668</f>
        <v>0</v>
      </c>
      <c r="G1674" s="484"/>
      <c r="H1674" s="45"/>
      <c r="I1674" s="46"/>
      <c r="J1674" s="46"/>
      <c r="K1674" s="46"/>
      <c r="L1674" s="47"/>
      <c r="M1674" s="23"/>
      <c r="N1674" s="25"/>
      <c r="O1674" s="195"/>
    </row>
    <row r="1675" spans="1:17" ht="15.95" customHeight="1" x14ac:dyDescent="0.25">
      <c r="A1675" s="121"/>
      <c r="B1675" s="23"/>
      <c r="C1675" s="59" t="s">
        <v>34</v>
      </c>
      <c r="D1675" s="658" t="s">
        <v>48</v>
      </c>
      <c r="E1675" s="659"/>
      <c r="F1675" s="483"/>
      <c r="G1675" s="484"/>
      <c r="H1675" s="48">
        <f>+$D$1685</f>
        <v>43460</v>
      </c>
      <c r="I1675" s="70"/>
      <c r="J1675" s="49"/>
      <c r="K1675" s="49"/>
      <c r="L1675" s="50">
        <f>+D1687</f>
        <v>40000000</v>
      </c>
      <c r="M1675" s="93">
        <f>-L1675</f>
        <v>-40000000</v>
      </c>
      <c r="N1675" s="25"/>
      <c r="O1675" s="195"/>
    </row>
    <row r="1676" spans="1:17" ht="15.95" customHeight="1" x14ac:dyDescent="0.25">
      <c r="A1676" s="121"/>
      <c r="B1676" s="23"/>
      <c r="C1676" s="79" t="s">
        <v>38</v>
      </c>
      <c r="D1676" s="75"/>
      <c r="E1676" s="76"/>
      <c r="F1676" s="483"/>
      <c r="G1676" s="484"/>
      <c r="H1676" s="51">
        <f>IF(DAY(H1675)=DAY($H$1675),IF(WEEKDAY(EDATE(H1675,$D$1688),3)&lt;5,EDATE(H1675,$D$1688),WORKDAY(EDATE(H1675,$D$1688),1)),IF(WEEKDAY(EDATE($H$1675,$D$1688*COUNT($H$1675:H1675)),3)&lt;5,EDATE($H$1675,$D$1688*COUNT($H$1675:H1675)),WORKDAY(EDATE($H$1675,$D$1688*COUNT($H$1675:H1675)),1)))</f>
        <v>43550</v>
      </c>
      <c r="I1676" s="71" t="s">
        <v>13</v>
      </c>
      <c r="J1676" s="52">
        <f>(IF(AND($D$1691&lt;&gt;"",$D$1691&gt;(AVERAGE(VLOOKUP(WORKDAY.INTL(H1676,-7,1,),'Tasas-TC'!A:B,2,FALSE),VLOOKUP(WORKDAY.INTL(H1675,-7,1,),'Tasas-TC'!A:B,2,FALSE))+$D$1690)),$D$1691,IF(AND($D$1692&lt;&gt;"",$D$1692&lt;(AVERAGE(VLOOKUP(WORKDAY.INTL(H1676,-7,1,),'Tasas-TC'!A:B,2,FALSE),VLOOKUP(WORKDAY.INTL(H1675,-7,1,),'Tasas-TC'!A:B,2,FALSE))+$D$1690)),$D$1692,(AVERAGE(VLOOKUP(WORKDAY.INTL(H1676,-7,1,),'Tasas-TC'!A:B,2,FALSE),VLOOKUP(WORKDAY.INTL(H1675,-7,1,),'Tasas-TC'!A:B,2,FALSE))+$D$1690)))/360)*(H1676-H1675)*L1675</f>
        <v>5499999.9999999991</v>
      </c>
      <c r="K1676" s="52">
        <f t="shared" ref="K1676:K1682" si="155">+IF(OR(I1676="A + C",I1676="A"),$D$1687*$D$1693,0)</f>
        <v>4000000</v>
      </c>
      <c r="L1676" s="53">
        <f t="shared" ref="L1676:L1683" si="156">+L1675-K1676</f>
        <v>36000000</v>
      </c>
      <c r="M1676" s="94">
        <f t="shared" ref="M1676:M1683" si="157">+J1676+K1676</f>
        <v>9500000</v>
      </c>
      <c r="N1676" s="25"/>
      <c r="O1676" s="197">
        <f>+M1824</f>
        <v>9735616.4383561648</v>
      </c>
      <c r="P1676" s="197">
        <f>-M1824</f>
        <v>-9735616.4383561648</v>
      </c>
      <c r="Q1676" s="197"/>
    </row>
    <row r="1677" spans="1:17" ht="15.95" customHeight="1" x14ac:dyDescent="0.25">
      <c r="A1677" s="121"/>
      <c r="B1677" s="23"/>
      <c r="C1677" s="59"/>
      <c r="D1677" s="73"/>
      <c r="E1677" s="74"/>
      <c r="F1677" s="483"/>
      <c r="G1677" s="484"/>
      <c r="H1677" s="51">
        <f>IF(DAY(H1676)=DAY($H$1675),IF(WEEKDAY(EDATE(H1676,$D$1688),3)&lt;5,EDATE(H1676,$D$1688),WORKDAY(EDATE(H1676,$D$1688),1)),IF(WEEKDAY(EDATE($H$1675,$D$1688*COUNT($H$1675:H1676)),3)&lt;5,EDATE($H$1675,$D$1688*COUNT($H$1675:H1676)),WORKDAY(EDATE($H$1675,$D$1688*COUNT($H$1675:H1676)),1)))</f>
        <v>43642</v>
      </c>
      <c r="I1677" s="71" t="s">
        <v>13</v>
      </c>
      <c r="J1677" s="52">
        <f>(IF(AND($D$1691&lt;&gt;"",$D$1691&gt;(AVERAGE(VLOOKUP(WORKDAY.INTL(H1677,-7,1,),'Tasas-TC'!A:B,2,FALSE),VLOOKUP(WORKDAY.INTL(H1676,-7,1,),'Tasas-TC'!A:B,2,FALSE))+$D$1690)),$D$1691,IF(AND($D$1692&lt;&gt;"",$D$1692&lt;(AVERAGE(VLOOKUP(WORKDAY.INTL(H1677,-7,1,),'Tasas-TC'!A:B,2,FALSE),VLOOKUP(WORKDAY.INTL(H1676,-7,1,),'Tasas-TC'!A:B,2,FALSE))+$D$1690)),$D$1692,(AVERAGE(VLOOKUP(WORKDAY.INTL(H1677,-7,1,),'Tasas-TC'!A:B,2,FALSE),VLOOKUP(WORKDAY.INTL(H1676,-7,1,),'Tasas-TC'!A:B,2,FALSE))+$D$1690)))/360)*(H1677-H1676)*L1676</f>
        <v>5177874.9999999991</v>
      </c>
      <c r="K1677" s="52">
        <f t="shared" si="155"/>
        <v>4000000</v>
      </c>
      <c r="L1677" s="53">
        <f t="shared" si="156"/>
        <v>32000000</v>
      </c>
      <c r="M1677" s="94">
        <f t="shared" si="157"/>
        <v>9177875</v>
      </c>
      <c r="N1677" s="25"/>
      <c r="O1677" s="197">
        <f t="shared" ref="O1677:O1682" si="158">+M1825+O1676</f>
        <v>19471232.87671233</v>
      </c>
      <c r="P1677" s="197">
        <f t="shared" ref="P1677:P1682" si="159">+(M1825/(1+$J$1834)^((H1825-$H$1824)/365))/$P$1676</f>
        <v>-0.99999606890757708</v>
      </c>
      <c r="Q1677" s="197">
        <f t="shared" ref="Q1677:Q1682" si="160">+P1677*((H1825-$H$1824)/365)</f>
        <v>-0.25205380366985508</v>
      </c>
    </row>
    <row r="1678" spans="1:17" ht="15.95" customHeight="1" x14ac:dyDescent="0.25">
      <c r="A1678" s="121"/>
      <c r="B1678" s="23"/>
      <c r="C1678" s="60"/>
      <c r="D1678" s="77"/>
      <c r="E1678" s="78"/>
      <c r="F1678" s="483"/>
      <c r="G1678" s="484"/>
      <c r="H1678" s="51">
        <f>IF(DAY(H1677)=DAY($H$1675),IF(WEEKDAY(EDATE(H1677,$D$1688),3)&lt;5,EDATE(H1677,$D$1688),WORKDAY(EDATE(H1677,$D$1688),1)),IF(WEEKDAY(EDATE($H$1675,$D$1688*COUNT($H$1675:H1677)),3)&lt;5,EDATE($H$1675,$D$1688*COUNT($H$1675:H1677)),WORKDAY(EDATE($H$1675,$D$1688*COUNT($H$1675:H1677)),1)))</f>
        <v>43734</v>
      </c>
      <c r="I1678" s="71" t="s">
        <v>13</v>
      </c>
      <c r="J1678" s="52">
        <f>(IF(AND($D$1691&lt;&gt;"",$D$1691&gt;(AVERAGE(VLOOKUP(WORKDAY.INTL(H1678,-7,1,),'Tasas-TC'!A:B,2,FALSE),VLOOKUP(WORKDAY.INTL(H1677,-7,1,),'Tasas-TC'!A:B,2,FALSE))+$D$1690)),$D$1691,IF(AND($D$1692&lt;&gt;"",$D$1692&lt;(AVERAGE(VLOOKUP(WORKDAY.INTL(H1678,-7,1,),'Tasas-TC'!A:B,2,FALSE),VLOOKUP(WORKDAY.INTL(H1677,-7,1,),'Tasas-TC'!A:B,2,FALSE))+$D$1690)),$D$1692,(AVERAGE(VLOOKUP(WORKDAY.INTL(H1678,-7,1,),'Tasas-TC'!A:B,2,FALSE),VLOOKUP(WORKDAY.INTL(H1677,-7,1,),'Tasas-TC'!A:B,2,FALSE))+$D$1690)))/360)*(H1678-H1677)*L1677</f>
        <v>5282333.333333333</v>
      </c>
      <c r="K1678" s="52">
        <f t="shared" si="155"/>
        <v>4000000</v>
      </c>
      <c r="L1678" s="53">
        <f t="shared" si="156"/>
        <v>28000000</v>
      </c>
      <c r="M1678" s="94">
        <f t="shared" si="157"/>
        <v>9282333.3333333321</v>
      </c>
      <c r="N1678" s="25"/>
      <c r="O1678" s="197">
        <f t="shared" si="158"/>
        <v>28889383.561643839</v>
      </c>
      <c r="P1678" s="197">
        <f t="shared" si="159"/>
        <v>-0.9673838225605591</v>
      </c>
      <c r="Q1678" s="197">
        <f t="shared" si="160"/>
        <v>-0.47971636132455125</v>
      </c>
    </row>
    <row r="1679" spans="1:17" ht="15.95" customHeight="1" x14ac:dyDescent="0.25">
      <c r="A1679" s="121"/>
      <c r="B1679" s="32"/>
      <c r="C1679" s="60"/>
      <c r="D1679" s="275" t="str">
        <f>+B1666</f>
        <v>Marcelo Rossini I</v>
      </c>
      <c r="E1679" s="276"/>
      <c r="F1679" s="483"/>
      <c r="G1679" s="484">
        <f>+J1668</f>
        <v>0</v>
      </c>
      <c r="H1679" s="51">
        <f>IF(DAY(H1678)=DAY($H$1675),IF(WEEKDAY(EDATE(H1678,$D$1688),3)&lt;5,EDATE(H1678,$D$1688),WORKDAY(EDATE(H1678,$D$1688),1)),IF(WEEKDAY(EDATE($H$1675,$D$1688*COUNT($H$1675:H1678)),3)&lt;5,EDATE($H$1675,$D$1688*COUNT($H$1675:H1678)),WORKDAY(EDATE($H$1675,$D$1688*COUNT($H$1675:H1678)),1)))</f>
        <v>43825</v>
      </c>
      <c r="I1679" s="71" t="s">
        <v>13</v>
      </c>
      <c r="J1679" s="52">
        <f>(IF(AND($D$1691&lt;&gt;"",$D$1691&gt;(AVERAGE(VLOOKUP(WORKDAY.INTL(H1679,-7,1,),'Tasas-TC'!A:B,2,FALSE),VLOOKUP(WORKDAY.INTL(H1678,-7,1,),'Tasas-TC'!A:B,2,FALSE))+$D$1690)),$D$1691,IF(AND($D$1692&lt;&gt;"",$D$1692&lt;(AVERAGE(VLOOKUP(WORKDAY.INTL(H1679,-7,1,),'Tasas-TC'!A:B,2,FALSE),VLOOKUP(WORKDAY.INTL(H1678,-7,1,),'Tasas-TC'!A:B,2,FALSE))+$D$1690)),$D$1692,(AVERAGE(VLOOKUP(WORKDAY.INTL(H1679,-7,1,),'Tasas-TC'!A:B,2,FALSE),VLOOKUP(WORKDAY.INTL(H1678,-7,1,),'Tasas-TC'!A:B,2,FALSE))+$D$1690)))/360)*(H1679-H1678)*L1678</f>
        <v>4224548.611111111</v>
      </c>
      <c r="K1679" s="52">
        <f t="shared" si="155"/>
        <v>4000000</v>
      </c>
      <c r="L1679" s="53">
        <f t="shared" si="156"/>
        <v>24000000</v>
      </c>
      <c r="M1679" s="94">
        <f t="shared" si="157"/>
        <v>8224548.611111111</v>
      </c>
      <c r="N1679" s="25"/>
      <c r="O1679" s="197">
        <f t="shared" si="158"/>
        <v>88707191.780816913</v>
      </c>
      <c r="P1679" s="197">
        <f t="shared" si="159"/>
        <v>-6.144152331856497</v>
      </c>
      <c r="Q1679" s="197">
        <f t="shared" si="160"/>
        <v>-4.5954892783474621</v>
      </c>
    </row>
    <row r="1680" spans="1:17" ht="15.95" customHeight="1" x14ac:dyDescent="0.25">
      <c r="A1680" s="121"/>
      <c r="B1680" s="23"/>
      <c r="D1680" s="277"/>
      <c r="E1680" s="277"/>
      <c r="F1680" s="483"/>
      <c r="G1680" s="484"/>
      <c r="H1680" s="51">
        <f>IF(DAY(H1679)=DAY($H$1675),IF(WEEKDAY(EDATE(H1679,$D$1688),3)&lt;5,EDATE(H1679,$D$1688),WORKDAY(EDATE(H1679,$D$1688),1)),IF(WEEKDAY(EDATE($H$1675,$D$1688*COUNT($H$1675:H1679)),3)&lt;5,EDATE($H$1675,$D$1688*COUNT($H$1675:H1679)),WORKDAY(EDATE($H$1675,$D$1688*COUNT($H$1675:H1679)),1)))</f>
        <v>43916</v>
      </c>
      <c r="I1680" s="71" t="s">
        <v>13</v>
      </c>
      <c r="J1680" s="52">
        <f>(IF(AND($D$1691&lt;&gt;"",$D$1691&gt;(AVERAGE(VLOOKUP(WORKDAY.INTL(H1680,-7,1,),'Tasas-TC'!A:B,2,FALSE),VLOOKUP(WORKDAY.INTL(H1679,-7,1,),'Tasas-TC'!A:B,2,FALSE))+$D$1690)),$D$1691,IF(AND($D$1692&lt;&gt;"",$D$1692&lt;(AVERAGE(VLOOKUP(WORKDAY.INTL(H1680,-7,1,),'Tasas-TC'!A:B,2,FALSE),VLOOKUP(WORKDAY.INTL(H1679,-7,1,),'Tasas-TC'!A:B,2,FALSE))+$D$1690)),$D$1692,(AVERAGE(VLOOKUP(WORKDAY.INTL(H1680,-7,1,),'Tasas-TC'!A:B,2,FALSE),VLOOKUP(WORKDAY.INTL(H1679,-7,1,),'Tasas-TC'!A:B,2,FALSE))+$D$1690)))/360)*(H1680-H1679)*L1679</f>
        <v>2692083.333333333</v>
      </c>
      <c r="K1680" s="52">
        <f t="shared" si="155"/>
        <v>4000000</v>
      </c>
      <c r="L1680" s="53">
        <f t="shared" si="156"/>
        <v>20000000</v>
      </c>
      <c r="M1680" s="94">
        <f t="shared" si="157"/>
        <v>6692083.333333333</v>
      </c>
      <c r="N1680" s="25"/>
      <c r="O1680" s="197">
        <f t="shared" si="158"/>
        <v>95197602.739721343</v>
      </c>
      <c r="P1680" s="197">
        <f t="shared" si="159"/>
        <v>-0.66665626927274668</v>
      </c>
      <c r="Q1680" s="197">
        <f t="shared" si="160"/>
        <v>-0.66665626927274668</v>
      </c>
    </row>
    <row r="1681" spans="1:17" ht="15.95" customHeight="1" x14ac:dyDescent="0.25">
      <c r="A1681" s="121"/>
      <c r="B1681" s="23"/>
      <c r="C1681" s="638" t="s">
        <v>36</v>
      </c>
      <c r="D1681" s="640"/>
      <c r="E1681" s="36"/>
      <c r="F1681" s="483"/>
      <c r="G1681" s="484"/>
      <c r="H1681" s="51">
        <f>IF(DAY(H1680)=DAY($H$1675),IF(WEEKDAY(EDATE(H1680,$D$1688),3)&lt;5,EDATE(H1680,$D$1688),WORKDAY(EDATE(H1680,$D$1688),1)),IF(WEEKDAY(EDATE($H$1675,$D$1688*COUNT($H$1675:H1680)),3)&lt;5,EDATE($H$1675,$D$1688*COUNT($H$1675:H1680)),WORKDAY(EDATE($H$1675,$D$1688*COUNT($H$1675:H1680)),1)))</f>
        <v>44008</v>
      </c>
      <c r="I1681" s="71" t="s">
        <v>13</v>
      </c>
      <c r="J1681" s="52">
        <f>(IF(AND($D$1691&lt;&gt;"",$D$1691&gt;(AVERAGE(VLOOKUP(WORKDAY.INTL(H1681,-7,1,),'Tasas-TC'!A:B,2,FALSE),VLOOKUP(WORKDAY.INTL(H1680,-7,1,),'Tasas-TC'!A:B,2,FALSE))+$D$1690)),$D$1691,IF(AND($D$1692&lt;&gt;"",$D$1692&lt;(AVERAGE(VLOOKUP(WORKDAY.INTL(H1681,-7,1,),'Tasas-TC'!A:B,2,FALSE),VLOOKUP(WORKDAY.INTL(H1680,-7,1,),'Tasas-TC'!A:B,2,FALSE))+$D$1690)),$D$1692,(AVERAGE(VLOOKUP(WORKDAY.INTL(H1681,-7,1,),'Tasas-TC'!A:B,2,FALSE),VLOOKUP(WORKDAY.INTL(H1680,-7,1,),'Tasas-TC'!A:B,2,FALSE))+$D$1690)))/360)*(H1681-H1680)*L1680</f>
        <v>1975763.8888888888</v>
      </c>
      <c r="K1681" s="52">
        <f t="shared" si="155"/>
        <v>4000000</v>
      </c>
      <c r="L1681" s="53">
        <f t="shared" si="156"/>
        <v>16000000</v>
      </c>
      <c r="M1681" s="94">
        <f t="shared" si="157"/>
        <v>5975763.888888889</v>
      </c>
      <c r="N1681" s="25"/>
      <c r="O1681" s="197">
        <f t="shared" si="158"/>
        <v>141688013.69862178</v>
      </c>
      <c r="P1681" s="197">
        <f t="shared" si="159"/>
        <v>-4.7751987179582676</v>
      </c>
      <c r="Q1681" s="197">
        <f t="shared" si="160"/>
        <v>-5.978810449608023</v>
      </c>
    </row>
    <row r="1682" spans="1:17" ht="15.95" customHeight="1" x14ac:dyDescent="0.25">
      <c r="A1682" s="121"/>
      <c r="B1682" s="23"/>
      <c r="C1682" s="59"/>
      <c r="D1682" s="62"/>
      <c r="E1682" s="36"/>
      <c r="F1682" s="483"/>
      <c r="G1682" s="484"/>
      <c r="H1682" s="51">
        <f>IF(DAY(H1681)=DAY($H$1675),IF(WEEKDAY(EDATE(H1681,$D$1688),3)&lt;5,EDATE(H1681,$D$1688),WORKDAY(EDATE(H1681,$D$1688),1)),IF(WEEKDAY(EDATE($H$1675,$D$1688*COUNT($H$1675:H1681)),3)&lt;5,EDATE($H$1675,$D$1688*COUNT($H$1675:H1681)),WORKDAY(EDATE($H$1675,$D$1688*COUNT($H$1675:H1681)),1)))</f>
        <v>44102</v>
      </c>
      <c r="I1682" s="71" t="s">
        <v>13</v>
      </c>
      <c r="J1682" s="52">
        <f>(IF(AND($D$1691&lt;&gt;"",$D$1691&gt;(AVERAGE(VLOOKUP(WORKDAY.INTL(H1682,-7,1,),'Tasas-TC'!A:B,2,FALSE),VLOOKUP(WORKDAY.INTL(H1681,-7,1,),'Tasas-TC'!A:B,2,FALSE))+$D$1690)),$D$1691,IF(AND($D$1692&lt;&gt;"",$D$1692&lt;(AVERAGE(VLOOKUP(WORKDAY.INTL(H1682,-7,1,),'Tasas-TC'!A:B,2,FALSE),VLOOKUP(WORKDAY.INTL(H1681,-7,1,),'Tasas-TC'!A:B,2,FALSE))+$D$1690)),$D$1692,(AVERAGE(VLOOKUP(WORKDAY.INTL(H1682,-7,1,),'Tasas-TC'!A:B,2,FALSE),VLOOKUP(WORKDAY.INTL(H1681,-7,1,),'Tasas-TC'!A:B,2,FALSE))+$D$1690)))/360)*(H1682-H1681)*L1681</f>
        <v>1622805.5555555555</v>
      </c>
      <c r="K1682" s="52">
        <f t="shared" si="155"/>
        <v>4000000</v>
      </c>
      <c r="L1682" s="53">
        <f t="shared" si="156"/>
        <v>12000000</v>
      </c>
      <c r="M1682" s="94">
        <f t="shared" si="157"/>
        <v>5622805.555555556</v>
      </c>
      <c r="N1682" s="25"/>
      <c r="O1682" s="197">
        <f t="shared" si="158"/>
        <v>144862671.232869</v>
      </c>
      <c r="P1682" s="197">
        <f t="shared" si="159"/>
        <v>-0.32607933499538949</v>
      </c>
      <c r="Q1682" s="197">
        <f t="shared" si="160"/>
        <v>-0.48867231847254261</v>
      </c>
    </row>
    <row r="1683" spans="1:17" ht="15.95" customHeight="1" x14ac:dyDescent="0.25">
      <c r="A1683" s="121"/>
      <c r="B1683" s="23"/>
      <c r="C1683" s="59" t="s">
        <v>9</v>
      </c>
      <c r="D1683" s="98" t="s">
        <v>18</v>
      </c>
      <c r="E1683" s="36"/>
      <c r="F1683" s="483"/>
      <c r="G1683" s="484"/>
      <c r="H1683" s="51">
        <f>IF(DAY(H1682)=DAY($H$1675),IF(WEEKDAY(EDATE(H1682,$D$1688),3)&lt;5,EDATE(H1682,$D$1688),WORKDAY(EDATE(H1682,$D$1688),1)),IF(WEEKDAY(EDATE($H$1675,$D$1688*COUNT($H$1675:H1682)),3)&lt;5,EDATE($H$1675,$D$1688*COUNT($H$1675:H1682)),WORKDAY(EDATE($H$1675,$D$1688*COUNT($H$1675:H1682)),1)))</f>
        <v>44193</v>
      </c>
      <c r="I1683" s="71" t="s">
        <v>13</v>
      </c>
      <c r="J1683" s="52">
        <f>(IF(AND($D$1691&lt;&gt;"",$D$1691&gt;(AVERAGE(VLOOKUP(WORKDAY.INTL(H1683,-7,1,),'Tasas-TC'!A:B,2,FALSE),VLOOKUP(WORKDAY.INTL(H1682,-7,1,),'Tasas-TC'!A:B,2,FALSE))+$D$1690)),$D$1691,IF(AND($D$1692&lt;&gt;"",$D$1692&lt;(AVERAGE(VLOOKUP(WORKDAY.INTL(H1683,-7,1,),'Tasas-TC'!A:B,2,FALSE),VLOOKUP(WORKDAY.INTL(H1682,-7,1,),'Tasas-TC'!A:B,2,FALSE))+$D$1690)),$D$1692,(AVERAGE(VLOOKUP(WORKDAY.INTL(H1683,-7,1,),'Tasas-TC'!A:B,2,FALSE),VLOOKUP(WORKDAY.INTL(H1682,-7,1,),'Tasas-TC'!A:B,2,FALSE))+$D$1690)))/360)*(H1683-H1682)*L1682</f>
        <v>1244614.5833333333</v>
      </c>
      <c r="K1683" s="52">
        <f>+IF(OR(I1683="A + C",I1683="A"),$D$1687*$D$1694,0)</f>
        <v>12000000</v>
      </c>
      <c r="L1683" s="53">
        <f t="shared" si="156"/>
        <v>0</v>
      </c>
      <c r="M1683" s="94">
        <f t="shared" si="157"/>
        <v>13244614.583333334</v>
      </c>
      <c r="N1683" s="25"/>
      <c r="O1683" s="197"/>
      <c r="P1683" s="29"/>
    </row>
    <row r="1684" spans="1:17" ht="15.95" customHeight="1" x14ac:dyDescent="0.25">
      <c r="A1684" s="121"/>
      <c r="B1684" s="23"/>
      <c r="C1684" s="59" t="s">
        <v>10</v>
      </c>
      <c r="D1684" s="65">
        <v>43453</v>
      </c>
      <c r="E1684" s="36"/>
      <c r="F1684" s="483"/>
      <c r="G1684" s="484"/>
      <c r="H1684" s="54"/>
      <c r="I1684" s="104"/>
      <c r="J1684" s="55"/>
      <c r="K1684" s="56"/>
      <c r="L1684" s="57"/>
      <c r="M1684" s="95"/>
      <c r="N1684" s="25"/>
      <c r="O1684" s="197"/>
      <c r="P1684" s="29"/>
    </row>
    <row r="1685" spans="1:17" ht="15.95" customHeight="1" x14ac:dyDescent="0.25">
      <c r="A1685" s="121"/>
      <c r="B1685" s="23"/>
      <c r="C1685" s="59" t="s">
        <v>11</v>
      </c>
      <c r="D1685" s="65">
        <v>43460</v>
      </c>
      <c r="E1685" s="36"/>
      <c r="F1685" s="483"/>
      <c r="G1685" s="484"/>
      <c r="H1685" s="24"/>
      <c r="I1685" s="24"/>
      <c r="J1685" s="24"/>
      <c r="K1685" s="24"/>
      <c r="L1685" s="24"/>
      <c r="M1685" s="24"/>
      <c r="N1685" s="25"/>
      <c r="O1685" s="197"/>
      <c r="P1685" s="29"/>
    </row>
    <row r="1686" spans="1:17" ht="15.95" customHeight="1" x14ac:dyDescent="0.25">
      <c r="A1686" s="121"/>
      <c r="B1686" s="23"/>
      <c r="C1686" s="59" t="s">
        <v>12</v>
      </c>
      <c r="D1686" s="65">
        <v>44191</v>
      </c>
      <c r="E1686" s="36"/>
      <c r="F1686" s="480"/>
      <c r="G1686" s="484"/>
      <c r="H1686" s="656" t="s">
        <v>43</v>
      </c>
      <c r="I1686" s="656"/>
      <c r="J1686" s="92">
        <v>0</v>
      </c>
      <c r="K1686" s="92"/>
      <c r="L1686" s="24"/>
      <c r="M1686" s="24"/>
      <c r="N1686" s="25"/>
      <c r="O1686" s="197"/>
    </row>
    <row r="1687" spans="1:17" ht="15.95" customHeight="1" x14ac:dyDescent="0.25">
      <c r="A1687" s="121"/>
      <c r="B1687" s="23"/>
      <c r="C1687" s="59" t="s">
        <v>27</v>
      </c>
      <c r="D1687" s="66">
        <v>40000000</v>
      </c>
      <c r="E1687" s="41"/>
      <c r="F1687" s="480"/>
      <c r="G1687" s="485"/>
      <c r="H1687" s="657"/>
      <c r="I1687" s="657"/>
      <c r="J1687" s="392"/>
      <c r="K1687" s="24"/>
      <c r="L1687" s="33"/>
      <c r="M1687" s="33"/>
      <c r="N1687" s="25"/>
      <c r="O1687" s="197"/>
      <c r="P1687" s="37"/>
    </row>
    <row r="1688" spans="1:17" ht="15.95" customHeight="1" x14ac:dyDescent="0.25">
      <c r="A1688" s="121"/>
      <c r="B1688" s="23"/>
      <c r="C1688" s="59" t="s">
        <v>26</v>
      </c>
      <c r="D1688" s="66">
        <v>3</v>
      </c>
      <c r="E1688" s="36"/>
      <c r="F1688" s="480"/>
      <c r="G1688" s="485"/>
      <c r="H1688" s="24"/>
      <c r="I1688" s="24"/>
      <c r="J1688" s="24"/>
      <c r="K1688" s="24"/>
      <c r="L1688" s="24"/>
      <c r="M1688" s="24"/>
      <c r="N1688" s="25"/>
      <c r="O1688" s="197"/>
    </row>
    <row r="1689" spans="1:17" ht="15.95" customHeight="1" x14ac:dyDescent="0.25">
      <c r="A1689" s="121"/>
      <c r="B1689" s="23"/>
      <c r="C1689" s="59" t="s">
        <v>19</v>
      </c>
      <c r="D1689" s="67" t="s">
        <v>20</v>
      </c>
      <c r="E1689" s="43"/>
      <c r="F1689" s="480"/>
      <c r="G1689" s="485"/>
      <c r="H1689" s="638" t="s">
        <v>44</v>
      </c>
      <c r="I1689" s="639"/>
      <c r="J1689" s="639"/>
      <c r="K1689" s="639"/>
      <c r="L1689" s="639"/>
      <c r="M1689" s="640"/>
      <c r="N1689" s="25"/>
      <c r="O1689" s="195"/>
    </row>
    <row r="1690" spans="1:17" ht="15.95" customHeight="1" x14ac:dyDescent="0.25">
      <c r="A1690" s="121"/>
      <c r="B1690" s="23"/>
      <c r="C1690" s="59" t="s">
        <v>14</v>
      </c>
      <c r="D1690" s="68">
        <v>0.09</v>
      </c>
      <c r="E1690" s="43"/>
      <c r="F1690" s="480"/>
      <c r="G1690" s="485"/>
      <c r="H1690" s="23"/>
      <c r="I1690" s="24"/>
      <c r="J1690" s="24"/>
      <c r="K1690" s="24"/>
      <c r="L1690" s="24"/>
      <c r="M1690" s="25"/>
      <c r="N1690" s="25"/>
      <c r="O1690" s="195"/>
    </row>
    <row r="1691" spans="1:17" ht="15.95" customHeight="1" x14ac:dyDescent="0.25">
      <c r="A1691" s="121"/>
      <c r="B1691" s="23"/>
      <c r="C1691" s="59" t="s">
        <v>31</v>
      </c>
      <c r="D1691" s="68"/>
      <c r="E1691" s="43"/>
      <c r="F1691" s="480"/>
      <c r="G1691" s="485"/>
      <c r="H1691" s="23"/>
      <c r="I1691" s="24"/>
      <c r="J1691" s="24"/>
      <c r="K1691" s="24"/>
      <c r="L1691" s="24"/>
      <c r="M1691" s="25"/>
      <c r="N1691" s="25"/>
      <c r="O1691" s="195"/>
    </row>
    <row r="1692" spans="1:17" ht="15.95" customHeight="1" x14ac:dyDescent="0.25">
      <c r="A1692" s="121"/>
      <c r="B1692" s="23"/>
      <c r="C1692" s="59" t="s">
        <v>32</v>
      </c>
      <c r="D1692" s="68"/>
      <c r="E1692" s="44"/>
      <c r="F1692" s="480"/>
      <c r="G1692" s="485"/>
      <c r="H1692" s="96"/>
      <c r="I1692" s="35"/>
      <c r="J1692" s="24"/>
      <c r="K1692" s="24"/>
      <c r="L1692" s="24"/>
      <c r="M1692" s="25"/>
      <c r="N1692" s="25"/>
      <c r="O1692" s="195"/>
    </row>
    <row r="1693" spans="1:17" ht="15.95" customHeight="1" x14ac:dyDescent="0.25">
      <c r="A1693" s="121"/>
      <c r="B1693" s="23"/>
      <c r="C1693" s="59" t="s">
        <v>72</v>
      </c>
      <c r="D1693" s="69">
        <v>0.1</v>
      </c>
      <c r="E1693" s="24"/>
      <c r="F1693" s="480"/>
      <c r="G1693" s="485"/>
      <c r="H1693" s="23"/>
      <c r="I1693" s="24"/>
      <c r="J1693" s="24"/>
      <c r="K1693" s="24"/>
      <c r="L1693" s="24"/>
      <c r="M1693" s="25"/>
      <c r="N1693" s="25"/>
      <c r="O1693" s="195"/>
    </row>
    <row r="1694" spans="1:17" ht="15.95" customHeight="1" x14ac:dyDescent="0.25">
      <c r="A1694" s="121"/>
      <c r="B1694" s="23"/>
      <c r="C1694" s="59" t="s">
        <v>55</v>
      </c>
      <c r="D1694" s="69">
        <v>0.3</v>
      </c>
      <c r="E1694" s="24"/>
      <c r="F1694" s="480"/>
      <c r="G1694" s="485"/>
      <c r="H1694" s="23"/>
      <c r="I1694" s="24"/>
      <c r="J1694" s="24"/>
      <c r="K1694" s="24"/>
      <c r="L1694" s="24"/>
      <c r="M1694" s="25"/>
      <c r="N1694" s="25"/>
      <c r="O1694" s="195"/>
    </row>
    <row r="1695" spans="1:17" ht="15.95" customHeight="1" x14ac:dyDescent="0.25">
      <c r="A1695" s="121"/>
      <c r="B1695" s="23"/>
      <c r="C1695" s="63"/>
      <c r="D1695" s="120"/>
      <c r="E1695" s="24"/>
      <c r="F1695" s="480"/>
      <c r="G1695" s="485"/>
      <c r="H1695" s="23"/>
      <c r="I1695" s="24"/>
      <c r="J1695" s="24"/>
      <c r="K1695" s="24"/>
      <c r="L1695" s="24"/>
      <c r="M1695" s="25"/>
      <c r="N1695" s="25"/>
      <c r="O1695" s="195"/>
    </row>
    <row r="1696" spans="1:17" ht="15.95" customHeight="1" x14ac:dyDescent="0.25">
      <c r="A1696" s="121"/>
      <c r="B1696" s="23"/>
      <c r="C1696" s="24"/>
      <c r="D1696" s="24"/>
      <c r="E1696" s="24"/>
      <c r="F1696" s="480"/>
      <c r="G1696" s="485"/>
      <c r="H1696" s="23"/>
      <c r="I1696" s="24"/>
      <c r="J1696" s="24"/>
      <c r="K1696" s="24"/>
      <c r="L1696" s="24"/>
      <c r="M1696" s="25"/>
      <c r="N1696" s="25"/>
      <c r="O1696" s="195"/>
    </row>
    <row r="1697" spans="1:17" ht="15.95" customHeight="1" x14ac:dyDescent="0.25">
      <c r="A1697" s="121"/>
      <c r="B1697" s="23"/>
      <c r="C1697" s="24"/>
      <c r="D1697" s="24"/>
      <c r="E1697" s="24"/>
      <c r="F1697" s="480"/>
      <c r="G1697" s="485"/>
      <c r="H1697" s="23"/>
      <c r="I1697" s="24"/>
      <c r="J1697" s="24"/>
      <c r="K1697" s="24"/>
      <c r="L1697" s="24"/>
      <c r="M1697" s="25"/>
      <c r="N1697" s="25"/>
      <c r="O1697" s="195"/>
    </row>
    <row r="1698" spans="1:17" ht="15.95" customHeight="1" x14ac:dyDescent="0.25">
      <c r="A1698" s="121"/>
      <c r="B1698" s="23"/>
      <c r="C1698" s="24"/>
      <c r="D1698" s="24"/>
      <c r="E1698" s="24"/>
      <c r="F1698" s="480"/>
      <c r="G1698" s="485"/>
      <c r="H1698" s="23"/>
      <c r="I1698" s="24"/>
      <c r="J1698" s="24"/>
      <c r="K1698" s="24"/>
      <c r="L1698" s="24"/>
      <c r="M1698" s="25"/>
      <c r="N1698" s="25"/>
      <c r="O1698" s="195"/>
    </row>
    <row r="1699" spans="1:17" ht="15.95" customHeight="1" x14ac:dyDescent="0.25">
      <c r="A1699" s="121"/>
      <c r="B1699" s="23"/>
      <c r="C1699" s="24"/>
      <c r="D1699" s="24"/>
      <c r="E1699" s="24"/>
      <c r="F1699" s="480"/>
      <c r="G1699" s="485"/>
      <c r="H1699" s="23"/>
      <c r="I1699" s="24"/>
      <c r="J1699" s="24"/>
      <c r="K1699" s="24"/>
      <c r="L1699" s="24"/>
      <c r="M1699" s="25"/>
      <c r="N1699" s="25"/>
      <c r="O1699" s="195"/>
    </row>
    <row r="1700" spans="1:17" ht="15.95" customHeight="1" x14ac:dyDescent="0.25">
      <c r="A1700" s="121"/>
      <c r="B1700" s="23"/>
      <c r="C1700" s="24"/>
      <c r="D1700" s="24"/>
      <c r="E1700" s="24"/>
      <c r="F1700" s="480"/>
      <c r="G1700" s="485"/>
      <c r="H1700" s="23"/>
      <c r="I1700" s="24"/>
      <c r="J1700" s="24"/>
      <c r="K1700" s="24"/>
      <c r="L1700" s="24"/>
      <c r="M1700" s="25"/>
      <c r="N1700" s="25"/>
      <c r="O1700" s="195"/>
    </row>
    <row r="1701" spans="1:17" ht="15.95" customHeight="1" x14ac:dyDescent="0.25">
      <c r="A1701" s="121"/>
      <c r="B1701" s="23"/>
      <c r="C1701" s="24"/>
      <c r="D1701" s="24"/>
      <c r="E1701" s="24"/>
      <c r="F1701" s="480"/>
      <c r="G1701" s="485"/>
      <c r="H1701" s="26"/>
      <c r="I1701" s="27"/>
      <c r="J1701" s="27"/>
      <c r="K1701" s="27"/>
      <c r="L1701" s="27"/>
      <c r="M1701" s="28"/>
      <c r="N1701" s="25"/>
      <c r="O1701" s="195"/>
    </row>
    <row r="1702" spans="1:17" ht="15.95" customHeight="1" x14ac:dyDescent="0.25">
      <c r="A1702" s="121"/>
      <c r="B1702" s="26"/>
      <c r="C1702" s="27"/>
      <c r="D1702" s="27"/>
      <c r="E1702" s="27"/>
      <c r="F1702" s="481"/>
      <c r="G1702" s="486"/>
      <c r="H1702" s="27"/>
      <c r="I1702" s="27"/>
      <c r="J1702" s="27"/>
      <c r="K1702" s="27"/>
      <c r="L1702" s="27"/>
      <c r="M1702" s="27"/>
      <c r="N1702" s="28"/>
      <c r="O1702" s="195"/>
    </row>
    <row r="1703" spans="1:17" ht="15.95" customHeight="1" x14ac:dyDescent="0.25">
      <c r="A1703" s="121"/>
      <c r="B1703" s="635" t="s">
        <v>167</v>
      </c>
      <c r="C1703" s="636"/>
      <c r="D1703" s="636"/>
      <c r="E1703" s="636"/>
      <c r="F1703" s="636"/>
      <c r="G1703" s="636"/>
      <c r="H1703" s="636"/>
      <c r="I1703" s="636"/>
      <c r="J1703" s="636"/>
      <c r="K1703" s="636"/>
      <c r="L1703" s="636"/>
      <c r="M1703" s="636"/>
      <c r="N1703" s="637"/>
      <c r="O1703" s="195"/>
    </row>
    <row r="1704" spans="1:17" ht="15.95" customHeight="1" x14ac:dyDescent="0.25">
      <c r="A1704" s="121"/>
      <c r="B1704" s="23"/>
      <c r="C1704" s="24"/>
      <c r="D1704" s="24"/>
      <c r="E1704" s="24"/>
      <c r="F1704" s="483"/>
      <c r="G1704" s="484"/>
      <c r="H1704" s="31"/>
      <c r="I1704" s="31"/>
      <c r="J1704" s="24"/>
      <c r="K1704" s="24"/>
      <c r="L1704" s="24"/>
      <c r="M1704" s="24"/>
      <c r="N1704" s="25"/>
      <c r="O1704" s="195"/>
    </row>
    <row r="1705" spans="1:17" ht="15.95" customHeight="1" x14ac:dyDescent="0.25">
      <c r="A1705" s="121"/>
      <c r="B1705" s="23"/>
      <c r="C1705" s="638" t="s">
        <v>37</v>
      </c>
      <c r="D1705" s="639"/>
      <c r="E1705" s="640"/>
      <c r="F1705" s="483"/>
      <c r="G1705" s="484"/>
      <c r="H1705" s="641" t="s">
        <v>28</v>
      </c>
      <c r="I1705" s="642"/>
      <c r="J1705" s="39">
        <f>+$D$1727-SUMIF($H$1711:$H$1716,"&lt;"&amp;$M$4,$K$1711:$K$1716)</f>
        <v>0</v>
      </c>
      <c r="K1705" s="24"/>
      <c r="L1705" s="24"/>
      <c r="M1705" s="24"/>
      <c r="N1705" s="25"/>
      <c r="O1705" s="195"/>
    </row>
    <row r="1706" spans="1:17" ht="15.95" customHeight="1" x14ac:dyDescent="0.25">
      <c r="A1706" s="121"/>
      <c r="B1706" s="23"/>
      <c r="C1706" s="58"/>
      <c r="D1706" s="664"/>
      <c r="E1706" s="665"/>
      <c r="F1706" s="483"/>
      <c r="G1706" s="484"/>
      <c r="H1706" s="645" t="s">
        <v>29</v>
      </c>
      <c r="I1706" s="646"/>
      <c r="J1706" s="40">
        <f>+$D$1726</f>
        <v>44380</v>
      </c>
      <c r="K1706" s="24"/>
      <c r="L1706" s="24"/>
      <c r="M1706" s="24"/>
      <c r="N1706" s="25"/>
      <c r="O1706" s="194" t="str">
        <f>+D1859</f>
        <v>ON Pyme CNV Garantizada</v>
      </c>
    </row>
    <row r="1707" spans="1:17" ht="15.95" customHeight="1" x14ac:dyDescent="0.25">
      <c r="A1707" s="121"/>
      <c r="B1707" s="23"/>
      <c r="C1707" s="59" t="s">
        <v>25</v>
      </c>
      <c r="D1707" s="658"/>
      <c r="E1707" s="659"/>
      <c r="F1707" s="483"/>
      <c r="G1707" s="484"/>
      <c r="H1707" s="649" t="s">
        <v>30</v>
      </c>
      <c r="I1707" s="650"/>
      <c r="J1707" s="42" t="str">
        <f t="array" ref="J1707">+IF(H1716&gt;=M4,MIN(IF(H1711:H1717&gt;=$M$4,H1711:H1717,"")),"vencida")</f>
        <v>vencida</v>
      </c>
      <c r="K1707" s="24"/>
      <c r="L1707" s="24"/>
      <c r="M1707" s="24"/>
      <c r="N1707" s="25"/>
      <c r="O1707" s="195"/>
    </row>
    <row r="1708" spans="1:17" ht="20.100000000000001" customHeight="1" x14ac:dyDescent="0.25">
      <c r="A1708" s="121"/>
      <c r="B1708" s="23"/>
      <c r="C1708" s="59" t="s">
        <v>6</v>
      </c>
      <c r="D1708" s="658" t="s">
        <v>168</v>
      </c>
      <c r="E1708" s="659"/>
      <c r="F1708" s="483"/>
      <c r="G1708" s="484"/>
      <c r="H1708" s="24"/>
      <c r="I1708" s="24"/>
      <c r="J1708" s="24"/>
      <c r="K1708" s="24"/>
      <c r="L1708" s="24"/>
      <c r="M1708" s="24"/>
      <c r="N1708" s="25"/>
      <c r="O1708" s="194" t="str">
        <f>+IF(J1857="vencida",IF(D1859='Reporte - Oscuro'!$C$40,'Reporte - Oscuro'!$C$40&amp;" vencida",IF(D1859='Reporte - Oscuro'!$C$41,'Reporte - Oscuro'!$C$41&amp;" vencida",IF(D1859='Reporte - Oscuro'!$C$42,'Reporte - Oscuro'!$C$42&amp;" vencida",'Reporte - Oscuro'!$C$43&amp;" vencida"))),D1859&amp;" vigente")</f>
        <v>ON Pyme CNV Garantizada vencida</v>
      </c>
    </row>
    <row r="1709" spans="1:17" ht="15.95" customHeight="1" x14ac:dyDescent="0.25">
      <c r="A1709" s="121"/>
      <c r="B1709" s="23"/>
      <c r="C1709" s="59" t="s">
        <v>8</v>
      </c>
      <c r="D1709" s="658" t="s">
        <v>17</v>
      </c>
      <c r="E1709" s="659"/>
      <c r="F1709" s="483"/>
      <c r="G1709" s="484"/>
      <c r="H1709" s="651" t="s">
        <v>41</v>
      </c>
      <c r="I1709" s="652"/>
      <c r="J1709" s="652"/>
      <c r="K1709" s="652"/>
      <c r="L1709" s="653"/>
      <c r="M1709" s="24"/>
      <c r="N1709" s="25"/>
      <c r="O1709" s="195"/>
    </row>
    <row r="1710" spans="1:17" ht="20.100000000000001" customHeight="1" x14ac:dyDescent="0.25">
      <c r="A1710" s="121"/>
      <c r="B1710" s="23"/>
      <c r="C1710" s="59" t="s">
        <v>33</v>
      </c>
      <c r="D1710" s="73" t="s">
        <v>325</v>
      </c>
      <c r="E1710" s="273">
        <v>0.1</v>
      </c>
      <c r="F1710" s="483">
        <f>+E1710*$J$1705</f>
        <v>0</v>
      </c>
      <c r="G1710" s="484"/>
      <c r="H1710" s="81" t="s">
        <v>0</v>
      </c>
      <c r="I1710" s="82" t="s">
        <v>2</v>
      </c>
      <c r="J1710" s="82" t="s">
        <v>3</v>
      </c>
      <c r="K1710" s="82" t="s">
        <v>4</v>
      </c>
      <c r="L1710" s="83" t="s">
        <v>5</v>
      </c>
      <c r="M1710" s="82" t="s">
        <v>44</v>
      </c>
      <c r="N1710" s="25"/>
      <c r="O1710" s="195"/>
    </row>
    <row r="1711" spans="1:17" ht="15.95" customHeight="1" x14ac:dyDescent="0.25">
      <c r="A1711" s="121"/>
      <c r="B1711" s="23"/>
      <c r="C1711" s="278" t="s">
        <v>33</v>
      </c>
      <c r="D1711" s="73" t="s">
        <v>297</v>
      </c>
      <c r="E1711" s="273">
        <v>0.2</v>
      </c>
      <c r="F1711" s="483">
        <f>+E1711*$J$1705</f>
        <v>0</v>
      </c>
      <c r="G1711" s="484"/>
      <c r="H1711" s="45"/>
      <c r="I1711" s="46"/>
      <c r="J1711" s="46"/>
      <c r="K1711" s="46"/>
      <c r="L1711" s="47"/>
      <c r="M1711" s="23"/>
      <c r="N1711" s="25"/>
      <c r="O1711" s="195"/>
    </row>
    <row r="1712" spans="1:17" ht="20.100000000000001" customHeight="1" x14ac:dyDescent="0.25">
      <c r="A1712" s="121"/>
      <c r="B1712" s="23"/>
      <c r="C1712" s="278" t="s">
        <v>33</v>
      </c>
      <c r="D1712" s="73" t="s">
        <v>308</v>
      </c>
      <c r="E1712" s="273">
        <v>0.3</v>
      </c>
      <c r="F1712" s="483">
        <f>+E1712*$J$1705</f>
        <v>0</v>
      </c>
      <c r="G1712" s="484"/>
      <c r="H1712" s="48">
        <f>+$D$1725</f>
        <v>43649</v>
      </c>
      <c r="I1712" s="70"/>
      <c r="J1712" s="49"/>
      <c r="K1712" s="49"/>
      <c r="L1712" s="50">
        <f>+D1727</f>
        <v>30000000</v>
      </c>
      <c r="M1712" s="93">
        <f>-L1712</f>
        <v>-30000000</v>
      </c>
      <c r="N1712" s="25"/>
      <c r="O1712" s="197">
        <f>+M1862</f>
        <v>-3000000</v>
      </c>
      <c r="P1712" s="197">
        <f>-M1862</f>
        <v>3000000</v>
      </c>
      <c r="Q1712" s="197"/>
    </row>
    <row r="1713" spans="1:17" ht="15.95" customHeight="1" x14ac:dyDescent="0.25">
      <c r="A1713" s="121"/>
      <c r="B1713" s="23"/>
      <c r="C1713" s="278" t="s">
        <v>33</v>
      </c>
      <c r="D1713" s="73" t="s">
        <v>309</v>
      </c>
      <c r="E1713" s="273">
        <v>0.2</v>
      </c>
      <c r="F1713" s="483">
        <f>+E1713*$J$1705</f>
        <v>0</v>
      </c>
      <c r="G1713" s="484"/>
      <c r="H1713" s="51">
        <f>IF(DAY(H1712)=DAY($H$1712),IF(WEEKDAY(EDATE(H1712,$D$1728),3)&lt;5,EDATE(H1712,$D$1728),WORKDAY(EDATE(H1712,$D$1728),1)),IF(WEEKDAY(EDATE($H$1712,$D$1728*COUNT($H$1712:H1712)),3)&lt;5,EDATE($H$1712,$D$1728*COUNT($H$1712:H1712)),WORKDAY(EDATE($H$1712,$D$1728*COUNT($H$1712:H1712)),1)))</f>
        <v>43833</v>
      </c>
      <c r="I1713" s="71" t="s">
        <v>13</v>
      </c>
      <c r="J1713" s="52">
        <v>7843000.0000000009</v>
      </c>
      <c r="K1713" s="52">
        <f>+IF(OR(I1713="A + C",I1713="A"),$D$1727*$D$1733,0)</f>
        <v>3000000</v>
      </c>
      <c r="L1713" s="53">
        <f>+L1712-K1713</f>
        <v>27000000</v>
      </c>
      <c r="M1713" s="94">
        <f>+J1713+K1713</f>
        <v>10843000</v>
      </c>
      <c r="N1713" s="25"/>
      <c r="O1713" s="197">
        <f t="shared" ref="O1713:O1718" si="161">+M1863+O1712</f>
        <v>-1912882.5</v>
      </c>
      <c r="P1713" s="197">
        <f t="shared" ref="P1713:P1718" si="162">+(M1863/(1+$J$1872)^((H1863-$H$1862)/365))/$P$1712</f>
        <v>0.36237249999999999</v>
      </c>
      <c r="Q1713" s="197">
        <f t="shared" ref="Q1713:Q1718" si="163">+P1713*((H1863-$H$1862)/365)</f>
        <v>0.18267545205479452</v>
      </c>
    </row>
    <row r="1714" spans="1:17" ht="15.95" customHeight="1" x14ac:dyDescent="0.25">
      <c r="A1714" s="121"/>
      <c r="B1714" s="23"/>
      <c r="C1714" s="278" t="s">
        <v>33</v>
      </c>
      <c r="D1714" s="73" t="s">
        <v>318</v>
      </c>
      <c r="E1714" s="273">
        <v>0.2</v>
      </c>
      <c r="F1714" s="483">
        <f>+E1714*$J$1705</f>
        <v>0</v>
      </c>
      <c r="G1714" s="484"/>
      <c r="H1714" s="51">
        <f>IF(DAY(H1713)=DAY($H$1712),IF(WEEKDAY(EDATE(H1713,$D$1728),3)&lt;5,EDATE(H1713,$D$1728),WORKDAY(EDATE(H1713,$D$1728),1)),IF(WEEKDAY(EDATE($H$1712,$D$1728*COUNT($H$1712:H1713)),3)&lt;5,EDATE($H$1712,$D$1728*COUNT($H$1712:H1713)),WORKDAY(EDATE($H$1712,$D$1728*COUNT($H$1712:H1713)),1)))</f>
        <v>44015</v>
      </c>
      <c r="I1714" s="71" t="s">
        <v>13</v>
      </c>
      <c r="J1714" s="52">
        <v>5369568.75</v>
      </c>
      <c r="K1714" s="52">
        <f>+IF(OR(I1714="A + C",I1714="A"),$D$1727*$D$1733,0)</f>
        <v>3000000</v>
      </c>
      <c r="L1714" s="53">
        <f>+L1713-K1714</f>
        <v>24000000</v>
      </c>
      <c r="M1714" s="94">
        <f>+J1714+K1714</f>
        <v>8369568.75</v>
      </c>
      <c r="N1714" s="25"/>
      <c r="O1714" s="197">
        <f t="shared" si="161"/>
        <v>-1074697.125</v>
      </c>
      <c r="P1714" s="197">
        <f t="shared" si="162"/>
        <v>0.27939512500000002</v>
      </c>
      <c r="Q1714" s="197">
        <f t="shared" si="163"/>
        <v>0.28016059109589048</v>
      </c>
    </row>
    <row r="1715" spans="1:17" ht="15.95" customHeight="1" x14ac:dyDescent="0.25">
      <c r="A1715" s="121"/>
      <c r="B1715" s="23"/>
      <c r="C1715" s="59" t="s">
        <v>34</v>
      </c>
      <c r="D1715" s="658" t="s">
        <v>48</v>
      </c>
      <c r="E1715" s="659"/>
      <c r="F1715" s="483"/>
      <c r="G1715" s="484"/>
      <c r="H1715" s="51">
        <f>IF(DAY(H1714)=DAY($H$1712),IF(WEEKDAY(EDATE(H1714,$D$1728),3)&lt;5,EDATE(H1714,$D$1728),WORKDAY(EDATE(H1714,$D$1728),1)),IF(WEEKDAY(EDATE($H$1712,$D$1728*COUNT($H$1712:H1714)),3)&lt;5,EDATE($H$1712,$D$1728*COUNT($H$1712:H1714)),WORKDAY(EDATE($H$1712,$D$1728*COUNT($H$1712:H1714)),1)))</f>
        <v>44200</v>
      </c>
      <c r="I1715" s="71" t="s">
        <v>13</v>
      </c>
      <c r="J1715" s="52">
        <v>3949749.9999999995</v>
      </c>
      <c r="K1715" s="52">
        <f>+IF(OR(I1715="A + C",I1715="A"),$D$1727*$D$1734,0)</f>
        <v>12000000</v>
      </c>
      <c r="L1715" s="53">
        <f>+L1714-K1715</f>
        <v>12000000</v>
      </c>
      <c r="M1715" s="94">
        <f>+J1715+K1715</f>
        <v>15949750</v>
      </c>
      <c r="N1715" s="25"/>
      <c r="O1715" s="197">
        <f t="shared" si="161"/>
        <v>-76471.125</v>
      </c>
      <c r="P1715" s="197">
        <f t="shared" si="162"/>
        <v>0.33274199999999998</v>
      </c>
      <c r="Q1715" s="197">
        <f t="shared" si="163"/>
        <v>0.50321529863013692</v>
      </c>
    </row>
    <row r="1716" spans="1:17" ht="15.95" customHeight="1" x14ac:dyDescent="0.25">
      <c r="A1716" s="121"/>
      <c r="B1716" s="32"/>
      <c r="C1716" s="79" t="s">
        <v>38</v>
      </c>
      <c r="D1716" s="75"/>
      <c r="E1716" s="76"/>
      <c r="F1716" s="483"/>
      <c r="G1716" s="484"/>
      <c r="H1716" s="51">
        <f>IF(DAY(H1715)=DAY($H$1712),IF(WEEKDAY(EDATE(H1715,$D$1728),3)&lt;5,EDATE(H1715,$D$1728),WORKDAY(EDATE(H1715,$D$1728),1)),IF(WEEKDAY(EDATE($H$1712,$D$1728*COUNT($H$1712:H1715)),3)&lt;5,EDATE($H$1712,$D$1728*COUNT($H$1712:H1715)),WORKDAY(EDATE($H$1712,$D$1728*COUNT($H$1712:H1715)),1)))</f>
        <v>44382</v>
      </c>
      <c r="I1716" s="71" t="s">
        <v>13</v>
      </c>
      <c r="J1716" s="52">
        <v>1942849.9999999998</v>
      </c>
      <c r="K1716" s="52">
        <f>+IF(OR(I1716="A + C",I1716="A"),$D$1727*$D$1734,0)</f>
        <v>12000000</v>
      </c>
      <c r="L1716" s="53">
        <f>+L1715-K1716</f>
        <v>0</v>
      </c>
      <c r="M1716" s="94">
        <f>+J1716+K1716</f>
        <v>13942850</v>
      </c>
      <c r="N1716" s="25"/>
      <c r="O1716" s="197">
        <f t="shared" si="161"/>
        <v>810958.125</v>
      </c>
      <c r="P1716" s="197">
        <f t="shared" si="162"/>
        <v>0.29580974999999998</v>
      </c>
      <c r="Q1716" s="197">
        <f t="shared" si="163"/>
        <v>0.59242993767123286</v>
      </c>
    </row>
    <row r="1717" spans="1:17" ht="15.95" customHeight="1" x14ac:dyDescent="0.25">
      <c r="A1717" s="121"/>
      <c r="B1717" s="23"/>
      <c r="C1717" s="59"/>
      <c r="D1717" s="73"/>
      <c r="E1717" s="74"/>
      <c r="F1717" s="483"/>
      <c r="G1717" s="484"/>
      <c r="H1717" s="54"/>
      <c r="I1717" s="104"/>
      <c r="J1717" s="105"/>
      <c r="K1717" s="105"/>
      <c r="L1717" s="106"/>
      <c r="M1717" s="109"/>
      <c r="N1717" s="25"/>
      <c r="O1717" s="197">
        <f t="shared" si="161"/>
        <v>1609000.625</v>
      </c>
      <c r="P1717" s="197">
        <f t="shared" si="162"/>
        <v>0.26601416666666666</v>
      </c>
      <c r="Q1717" s="197">
        <f t="shared" si="163"/>
        <v>0.66758623744292234</v>
      </c>
    </row>
    <row r="1718" spans="1:17" ht="15.95" customHeight="1" x14ac:dyDescent="0.25">
      <c r="A1718" s="121"/>
      <c r="B1718" s="23"/>
      <c r="C1718" s="60"/>
      <c r="D1718" s="77"/>
      <c r="E1718" s="78"/>
      <c r="F1718" s="483"/>
      <c r="G1718" s="484"/>
      <c r="H1718" s="109"/>
      <c r="I1718" s="109"/>
      <c r="J1718" s="109"/>
      <c r="K1718" s="109"/>
      <c r="L1718" s="109"/>
      <c r="M1718" s="109"/>
      <c r="N1718" s="25"/>
      <c r="O1718" s="197">
        <f t="shared" si="161"/>
        <v>2306416.125</v>
      </c>
      <c r="P1718" s="197">
        <f t="shared" si="162"/>
        <v>0.23247183333333332</v>
      </c>
      <c r="Q1718" s="197">
        <f t="shared" si="163"/>
        <v>0.69805240913242006</v>
      </c>
    </row>
    <row r="1719" spans="1:17" ht="15.95" customHeight="1" x14ac:dyDescent="0.25">
      <c r="A1719" s="121"/>
      <c r="B1719" s="23"/>
      <c r="C1719" s="60"/>
      <c r="D1719" s="275" t="str">
        <f>+B1703</f>
        <v>Metalfor I</v>
      </c>
      <c r="E1719" s="276"/>
      <c r="F1719" s="483"/>
      <c r="G1719" s="484">
        <f>+J1705</f>
        <v>0</v>
      </c>
      <c r="H1719" s="656" t="s">
        <v>43</v>
      </c>
      <c r="I1719" s="656"/>
      <c r="J1719" s="92">
        <v>0</v>
      </c>
      <c r="K1719" s="92"/>
      <c r="L1719" s="24"/>
      <c r="M1719" s="24"/>
      <c r="N1719" s="25"/>
      <c r="O1719" s="197"/>
      <c r="P1719" s="29"/>
    </row>
    <row r="1720" spans="1:17" ht="15.95" customHeight="1" x14ac:dyDescent="0.25">
      <c r="A1720" s="121"/>
      <c r="B1720" s="23"/>
      <c r="D1720" s="277"/>
      <c r="E1720" s="277"/>
      <c r="F1720" s="483"/>
      <c r="G1720" s="484"/>
      <c r="H1720" s="657"/>
      <c r="I1720" s="657"/>
      <c r="J1720" s="392"/>
      <c r="K1720" s="24"/>
      <c r="L1720" s="33"/>
      <c r="M1720" s="33"/>
      <c r="N1720" s="25"/>
      <c r="O1720" s="197"/>
      <c r="P1720" s="29"/>
    </row>
    <row r="1721" spans="1:17" ht="15.95" customHeight="1" x14ac:dyDescent="0.25">
      <c r="A1721" s="121"/>
      <c r="B1721" s="23"/>
      <c r="C1721" s="638" t="s">
        <v>36</v>
      </c>
      <c r="D1721" s="640"/>
      <c r="E1721" s="36"/>
      <c r="F1721" s="483"/>
      <c r="G1721" s="484"/>
      <c r="H1721" s="24"/>
      <c r="I1721" s="24"/>
      <c r="J1721" s="24"/>
      <c r="K1721" s="24"/>
      <c r="L1721" s="24"/>
      <c r="M1721" s="24"/>
      <c r="N1721" s="25"/>
      <c r="O1721" s="197"/>
      <c r="P1721" s="29"/>
    </row>
    <row r="1722" spans="1:17" ht="15.95" customHeight="1" x14ac:dyDescent="0.25">
      <c r="A1722" s="121"/>
      <c r="B1722" s="23"/>
      <c r="C1722" s="59"/>
      <c r="D1722" s="62"/>
      <c r="E1722" s="36"/>
      <c r="F1722" s="483"/>
      <c r="G1722" s="484"/>
      <c r="H1722" s="638" t="s">
        <v>44</v>
      </c>
      <c r="I1722" s="639"/>
      <c r="J1722" s="639"/>
      <c r="K1722" s="639"/>
      <c r="L1722" s="639"/>
      <c r="M1722" s="640"/>
      <c r="N1722" s="25"/>
      <c r="O1722" s="197"/>
    </row>
    <row r="1723" spans="1:17" ht="15.95" customHeight="1" x14ac:dyDescent="0.25">
      <c r="A1723" s="121"/>
      <c r="B1723" s="23"/>
      <c r="C1723" s="59" t="s">
        <v>9</v>
      </c>
      <c r="D1723" s="98" t="s">
        <v>18</v>
      </c>
      <c r="E1723" s="36"/>
      <c r="F1723" s="480"/>
      <c r="G1723" s="484"/>
      <c r="H1723" s="23"/>
      <c r="I1723" s="24"/>
      <c r="J1723" s="24"/>
      <c r="K1723" s="24"/>
      <c r="L1723" s="24"/>
      <c r="M1723" s="25"/>
      <c r="N1723" s="25"/>
      <c r="O1723" s="197"/>
      <c r="P1723" s="37"/>
    </row>
    <row r="1724" spans="1:17" ht="15.95" customHeight="1" x14ac:dyDescent="0.25">
      <c r="A1724" s="121"/>
      <c r="B1724" s="23"/>
      <c r="C1724" s="59" t="s">
        <v>10</v>
      </c>
      <c r="D1724" s="65">
        <v>43644</v>
      </c>
      <c r="E1724" s="36"/>
      <c r="F1724" s="480"/>
      <c r="G1724" s="484"/>
      <c r="H1724" s="23"/>
      <c r="I1724" s="24"/>
      <c r="J1724" s="24"/>
      <c r="K1724" s="24"/>
      <c r="L1724" s="24"/>
      <c r="M1724" s="25"/>
      <c r="N1724" s="25"/>
      <c r="O1724" s="197"/>
    </row>
    <row r="1725" spans="1:17" ht="15.95" customHeight="1" x14ac:dyDescent="0.25">
      <c r="A1725" s="121"/>
      <c r="B1725" s="23"/>
      <c r="C1725" s="59" t="s">
        <v>11</v>
      </c>
      <c r="D1725" s="65">
        <v>43649</v>
      </c>
      <c r="E1725" s="36"/>
      <c r="F1725" s="480"/>
      <c r="G1725" s="484"/>
      <c r="H1725" s="96"/>
      <c r="I1725" s="35"/>
      <c r="J1725" s="24"/>
      <c r="K1725" s="24"/>
      <c r="L1725" s="24"/>
      <c r="M1725" s="25"/>
      <c r="N1725" s="25"/>
      <c r="O1725" s="195"/>
    </row>
    <row r="1726" spans="1:17" ht="15.95" customHeight="1" x14ac:dyDescent="0.25">
      <c r="A1726" s="121"/>
      <c r="B1726" s="23"/>
      <c r="C1726" s="59" t="s">
        <v>12</v>
      </c>
      <c r="D1726" s="65">
        <v>44380</v>
      </c>
      <c r="E1726" s="36"/>
      <c r="F1726" s="480"/>
      <c r="G1726" s="484"/>
      <c r="H1726" s="23"/>
      <c r="I1726" s="24"/>
      <c r="J1726" s="24"/>
      <c r="K1726" s="24"/>
      <c r="L1726" s="24"/>
      <c r="M1726" s="25"/>
      <c r="N1726" s="25"/>
      <c r="O1726" s="195"/>
    </row>
    <row r="1727" spans="1:17" ht="15.95" customHeight="1" x14ac:dyDescent="0.25">
      <c r="A1727" s="121"/>
      <c r="B1727" s="23"/>
      <c r="C1727" s="59" t="s">
        <v>27</v>
      </c>
      <c r="D1727" s="66">
        <v>30000000</v>
      </c>
      <c r="E1727" s="41"/>
      <c r="F1727" s="480"/>
      <c r="G1727" s="484"/>
      <c r="H1727" s="23"/>
      <c r="I1727" s="24"/>
      <c r="J1727" s="24"/>
      <c r="K1727" s="24"/>
      <c r="L1727" s="24"/>
      <c r="M1727" s="25"/>
      <c r="N1727" s="25"/>
      <c r="O1727" s="195"/>
    </row>
    <row r="1728" spans="1:17" ht="15.95" customHeight="1" x14ac:dyDescent="0.25">
      <c r="A1728" s="121"/>
      <c r="B1728" s="23"/>
      <c r="C1728" s="59" t="s">
        <v>26</v>
      </c>
      <c r="D1728" s="66">
        <v>6</v>
      </c>
      <c r="E1728" s="36"/>
      <c r="F1728" s="480"/>
      <c r="G1728" s="484"/>
      <c r="H1728" s="23"/>
      <c r="I1728" s="24"/>
      <c r="J1728" s="24"/>
      <c r="K1728" s="24"/>
      <c r="L1728" s="24"/>
      <c r="M1728" s="25"/>
      <c r="N1728" s="25"/>
      <c r="O1728" s="195"/>
    </row>
    <row r="1729" spans="1:15" ht="15.95" customHeight="1" x14ac:dyDescent="0.25">
      <c r="A1729" s="121"/>
      <c r="B1729" s="23"/>
      <c r="C1729" s="59" t="s">
        <v>19</v>
      </c>
      <c r="D1729" s="67" t="s">
        <v>20</v>
      </c>
      <c r="E1729" s="43"/>
      <c r="F1729" s="480"/>
      <c r="G1729" s="484"/>
      <c r="H1729" s="23"/>
      <c r="I1729" s="24"/>
      <c r="J1729" s="24"/>
      <c r="K1729" s="24"/>
      <c r="L1729" s="24"/>
      <c r="M1729" s="25"/>
      <c r="N1729" s="25"/>
      <c r="O1729" s="195"/>
    </row>
    <row r="1730" spans="1:15" ht="15.95" customHeight="1" x14ac:dyDescent="0.25">
      <c r="A1730" s="121"/>
      <c r="B1730" s="23"/>
      <c r="C1730" s="59" t="s">
        <v>14</v>
      </c>
      <c r="D1730" s="68">
        <v>5.8999999999999997E-2</v>
      </c>
      <c r="E1730" s="43"/>
      <c r="F1730" s="480"/>
      <c r="G1730" s="484"/>
      <c r="H1730" s="23"/>
      <c r="I1730" s="24"/>
      <c r="J1730" s="24"/>
      <c r="K1730" s="24"/>
      <c r="L1730" s="24"/>
      <c r="M1730" s="25"/>
      <c r="N1730" s="25"/>
      <c r="O1730" s="195"/>
    </row>
    <row r="1731" spans="1:15" ht="15.95" customHeight="1" x14ac:dyDescent="0.25">
      <c r="A1731" s="121"/>
      <c r="B1731" s="23"/>
      <c r="C1731" s="59" t="s">
        <v>31</v>
      </c>
      <c r="D1731" s="68"/>
      <c r="E1731" s="43"/>
      <c r="F1731" s="480"/>
      <c r="G1731" s="484"/>
      <c r="H1731" s="23"/>
      <c r="I1731" s="24"/>
      <c r="J1731" s="24"/>
      <c r="K1731" s="24"/>
      <c r="L1731" s="24"/>
      <c r="M1731" s="25"/>
      <c r="N1731" s="25"/>
      <c r="O1731" s="195"/>
    </row>
    <row r="1732" spans="1:15" ht="15.95" customHeight="1" x14ac:dyDescent="0.25">
      <c r="A1732" s="121"/>
      <c r="B1732" s="23"/>
      <c r="C1732" s="59" t="s">
        <v>32</v>
      </c>
      <c r="D1732" s="68"/>
      <c r="E1732" s="44"/>
      <c r="F1732" s="480"/>
      <c r="G1732" s="485"/>
      <c r="H1732" s="23"/>
      <c r="I1732" s="24"/>
      <c r="J1732" s="24"/>
      <c r="K1732" s="24"/>
      <c r="L1732" s="24"/>
      <c r="M1732" s="25"/>
      <c r="N1732" s="25"/>
      <c r="O1732" s="195"/>
    </row>
    <row r="1733" spans="1:15" ht="15.95" customHeight="1" x14ac:dyDescent="0.25">
      <c r="A1733" s="121"/>
      <c r="B1733" s="23"/>
      <c r="C1733" s="59" t="s">
        <v>81</v>
      </c>
      <c r="D1733" s="68">
        <v>0.1</v>
      </c>
      <c r="E1733" s="24"/>
      <c r="F1733" s="480"/>
      <c r="G1733" s="485"/>
      <c r="H1733" s="23"/>
      <c r="I1733" s="24"/>
      <c r="J1733" s="24"/>
      <c r="K1733" s="24"/>
      <c r="L1733" s="24"/>
      <c r="M1733" s="25"/>
      <c r="N1733" s="25"/>
      <c r="O1733" s="195"/>
    </row>
    <row r="1734" spans="1:15" ht="15.95" customHeight="1" x14ac:dyDescent="0.25">
      <c r="A1734" s="121"/>
      <c r="B1734" s="23"/>
      <c r="C1734" s="59" t="s">
        <v>81</v>
      </c>
      <c r="D1734" s="68">
        <v>0.4</v>
      </c>
      <c r="E1734" s="24"/>
      <c r="F1734" s="480"/>
      <c r="G1734" s="485"/>
      <c r="H1734" s="23"/>
      <c r="I1734" s="24"/>
      <c r="J1734" s="24"/>
      <c r="K1734" s="24"/>
      <c r="L1734" s="24"/>
      <c r="M1734" s="25"/>
      <c r="N1734" s="25"/>
      <c r="O1734" s="195"/>
    </row>
    <row r="1735" spans="1:15" ht="15.95" customHeight="1" x14ac:dyDescent="0.25">
      <c r="A1735" s="121"/>
      <c r="B1735" s="23"/>
      <c r="C1735" s="60"/>
      <c r="D1735" s="110"/>
      <c r="E1735" s="24"/>
      <c r="F1735" s="480"/>
      <c r="G1735" s="485"/>
      <c r="H1735" s="26"/>
      <c r="I1735" s="27"/>
      <c r="J1735" s="27"/>
      <c r="K1735" s="27"/>
      <c r="L1735" s="27"/>
      <c r="M1735" s="28"/>
      <c r="N1735" s="25"/>
      <c r="O1735" s="195"/>
    </row>
    <row r="1736" spans="1:15" ht="15.95" customHeight="1" x14ac:dyDescent="0.25">
      <c r="A1736" s="121"/>
      <c r="B1736" s="26"/>
      <c r="C1736" s="27"/>
      <c r="D1736" s="27"/>
      <c r="E1736" s="27"/>
      <c r="F1736" s="481"/>
      <c r="G1736" s="486"/>
      <c r="H1736" s="27"/>
      <c r="I1736" s="27"/>
      <c r="J1736" s="27"/>
      <c r="K1736" s="27"/>
      <c r="L1736" s="27"/>
      <c r="M1736" s="27"/>
      <c r="N1736" s="28"/>
      <c r="O1736" s="195"/>
    </row>
    <row r="1737" spans="1:15" ht="15.95" customHeight="1" x14ac:dyDescent="0.25">
      <c r="A1737" s="122" t="s">
        <v>129</v>
      </c>
      <c r="B1737" s="635" t="s">
        <v>397</v>
      </c>
      <c r="C1737" s="636"/>
      <c r="D1737" s="636"/>
      <c r="E1737" s="636"/>
      <c r="F1737" s="636"/>
      <c r="G1737" s="636"/>
      <c r="H1737" s="636"/>
      <c r="I1737" s="636"/>
      <c r="J1737" s="636"/>
      <c r="K1737" s="636"/>
      <c r="L1737" s="636"/>
      <c r="M1737" s="636"/>
      <c r="N1737" s="637"/>
      <c r="O1737" s="195"/>
    </row>
    <row r="1738" spans="1:15" ht="15.95" customHeight="1" x14ac:dyDescent="0.25">
      <c r="A1738" s="121"/>
      <c r="B1738" s="23"/>
      <c r="C1738" s="24"/>
      <c r="D1738" s="24"/>
      <c r="E1738" s="24"/>
      <c r="F1738" s="483"/>
      <c r="G1738" s="484"/>
      <c r="H1738" s="31"/>
      <c r="I1738" s="31"/>
      <c r="J1738" s="24"/>
      <c r="K1738" s="24"/>
      <c r="L1738" s="24"/>
      <c r="M1738" s="24"/>
      <c r="N1738" s="25"/>
      <c r="O1738" s="195"/>
    </row>
    <row r="1739" spans="1:15" ht="15.95" customHeight="1" x14ac:dyDescent="0.25">
      <c r="A1739" s="121"/>
      <c r="B1739" s="23"/>
      <c r="C1739" s="638" t="s">
        <v>37</v>
      </c>
      <c r="D1739" s="639"/>
      <c r="E1739" s="640"/>
      <c r="F1739" s="483"/>
      <c r="G1739" s="484"/>
      <c r="H1739" s="641" t="s">
        <v>28</v>
      </c>
      <c r="I1739" s="642"/>
      <c r="J1739" s="39">
        <f>D1758-SUMIF(H1746:H1752,"&lt;"&amp;$M$4,K1746:K1752)</f>
        <v>0</v>
      </c>
      <c r="K1739" s="24"/>
      <c r="L1739" s="24"/>
      <c r="M1739" s="24"/>
      <c r="N1739" s="25"/>
      <c r="O1739" s="195"/>
    </row>
    <row r="1740" spans="1:15" ht="15.95" customHeight="1" x14ac:dyDescent="0.25">
      <c r="A1740" s="121"/>
      <c r="B1740" s="23"/>
      <c r="C1740" s="58"/>
      <c r="D1740" s="664"/>
      <c r="E1740" s="665"/>
      <c r="F1740" s="483"/>
      <c r="G1740" s="484"/>
      <c r="H1740" s="645" t="s">
        <v>29</v>
      </c>
      <c r="I1740" s="646"/>
      <c r="J1740" s="40">
        <f>D1757</f>
        <v>45344</v>
      </c>
      <c r="K1740" s="24"/>
      <c r="L1740" s="24"/>
      <c r="M1740" s="24"/>
      <c r="N1740" s="25"/>
      <c r="O1740" s="195"/>
    </row>
    <row r="1741" spans="1:15" ht="15.95" customHeight="1" x14ac:dyDescent="0.25">
      <c r="A1741" s="121"/>
      <c r="B1741" s="23"/>
      <c r="C1741" s="59" t="s">
        <v>25</v>
      </c>
      <c r="D1741" s="658"/>
      <c r="E1741" s="659"/>
      <c r="F1741" s="483"/>
      <c r="G1741" s="484"/>
      <c r="H1741" s="649" t="s">
        <v>30</v>
      </c>
      <c r="I1741" s="650"/>
      <c r="J1741" s="42" t="s">
        <v>523</v>
      </c>
      <c r="L1741" s="24"/>
      <c r="M1741" s="24"/>
      <c r="N1741" s="25"/>
      <c r="O1741" s="195"/>
    </row>
    <row r="1742" spans="1:15" ht="15.95" customHeight="1" x14ac:dyDescent="0.25">
      <c r="A1742" s="121"/>
      <c r="B1742" s="23"/>
      <c r="C1742" s="59" t="s">
        <v>6</v>
      </c>
      <c r="D1742" s="658" t="s">
        <v>398</v>
      </c>
      <c r="E1742" s="659"/>
      <c r="F1742" s="483"/>
      <c r="G1742" s="484"/>
      <c r="H1742" s="24"/>
      <c r="I1742" s="24"/>
      <c r="J1742" s="24"/>
      <c r="K1742" s="24"/>
      <c r="L1742" s="24"/>
      <c r="M1742" s="24"/>
      <c r="N1742" s="25"/>
      <c r="O1742" s="195"/>
    </row>
    <row r="1743" spans="1:15" ht="15.95" customHeight="1" x14ac:dyDescent="0.25">
      <c r="A1743" s="121"/>
      <c r="B1743" s="23"/>
      <c r="C1743" s="59" t="s">
        <v>8</v>
      </c>
      <c r="D1743" s="658" t="s">
        <v>17</v>
      </c>
      <c r="E1743" s="659"/>
      <c r="F1743" s="483"/>
      <c r="G1743" s="484"/>
      <c r="H1743" s="651" t="s">
        <v>41</v>
      </c>
      <c r="I1743" s="652"/>
      <c r="J1743" s="652"/>
      <c r="K1743" s="652"/>
      <c r="L1743" s="653"/>
      <c r="M1743" s="24"/>
      <c r="N1743" s="25"/>
      <c r="O1743" s="195"/>
    </row>
    <row r="1744" spans="1:15" ht="15.95" customHeight="1" x14ac:dyDescent="0.25">
      <c r="A1744" s="121"/>
      <c r="B1744" s="23"/>
      <c r="C1744" s="59" t="s">
        <v>33</v>
      </c>
      <c r="D1744" s="73" t="s">
        <v>293</v>
      </c>
      <c r="E1744" s="273">
        <v>0.5</v>
      </c>
      <c r="F1744" s="483">
        <f>+E1744*$J$1739</f>
        <v>0</v>
      </c>
      <c r="G1744" s="484"/>
      <c r="H1744" s="81" t="s">
        <v>0</v>
      </c>
      <c r="I1744" s="82" t="s">
        <v>2</v>
      </c>
      <c r="J1744" s="82" t="s">
        <v>3</v>
      </c>
      <c r="K1744" s="82" t="s">
        <v>4</v>
      </c>
      <c r="L1744" s="83" t="s">
        <v>5</v>
      </c>
      <c r="M1744" s="82" t="s">
        <v>44</v>
      </c>
      <c r="N1744" s="25"/>
      <c r="O1744" s="195"/>
    </row>
    <row r="1745" spans="1:17" ht="15.95" customHeight="1" x14ac:dyDescent="0.25">
      <c r="A1745" s="121"/>
      <c r="B1745" s="23"/>
      <c r="C1745" s="278" t="s">
        <v>33</v>
      </c>
      <c r="D1745" s="73" t="s">
        <v>311</v>
      </c>
      <c r="E1745" s="273">
        <v>0.5</v>
      </c>
      <c r="F1745" s="483">
        <f>+E1745*$J$1739</f>
        <v>0</v>
      </c>
      <c r="G1745" s="484"/>
      <c r="H1745" s="45"/>
      <c r="I1745" s="46"/>
      <c r="J1745" s="46"/>
      <c r="K1745" s="46"/>
      <c r="L1745" s="47"/>
      <c r="M1745" s="101"/>
      <c r="N1745" s="25"/>
      <c r="O1745" s="195"/>
    </row>
    <row r="1746" spans="1:17" ht="20.100000000000001" customHeight="1" x14ac:dyDescent="0.25">
      <c r="A1746" s="121"/>
      <c r="B1746" s="23"/>
      <c r="C1746" s="59" t="s">
        <v>34</v>
      </c>
      <c r="D1746" s="658" t="s">
        <v>48</v>
      </c>
      <c r="E1746" s="659"/>
      <c r="F1746" s="483"/>
      <c r="G1746" s="484"/>
      <c r="H1746" s="48">
        <f>D1756</f>
        <v>44491</v>
      </c>
      <c r="I1746" s="46"/>
      <c r="J1746" s="49"/>
      <c r="K1746" s="49"/>
      <c r="L1746" s="50">
        <f>+D1758</f>
        <v>30000000</v>
      </c>
      <c r="M1746" s="102">
        <f>-L1746</f>
        <v>-30000000</v>
      </c>
      <c r="N1746" s="25"/>
      <c r="O1746" s="194" t="str">
        <f>+D1895</f>
        <v>ON Pyme</v>
      </c>
    </row>
    <row r="1747" spans="1:17" ht="15.95" customHeight="1" x14ac:dyDescent="0.25">
      <c r="A1747" s="121"/>
      <c r="B1747" s="23"/>
      <c r="C1747" s="79" t="s">
        <v>38</v>
      </c>
      <c r="D1747" s="75"/>
      <c r="E1747" s="76"/>
      <c r="F1747" s="483"/>
      <c r="G1747" s="484"/>
      <c r="H1747" s="51">
        <v>44734</v>
      </c>
      <c r="I1747" s="415" t="s">
        <v>13</v>
      </c>
      <c r="J1747" s="52">
        <f t="shared" ref="J1747:J1752" si="164">L1746*($P$4+D1761)*(H1747-H1746)/365</f>
        <v>7826763.6986301374</v>
      </c>
      <c r="K1747" s="52">
        <f>D1758*D1764</f>
        <v>4500000</v>
      </c>
      <c r="L1747" s="53">
        <f>+L1746-K1747</f>
        <v>25500000</v>
      </c>
      <c r="M1747" s="103">
        <f>+J1747+K1747</f>
        <v>12326763.698630137</v>
      </c>
      <c r="N1747" s="25"/>
      <c r="O1747" s="195"/>
    </row>
    <row r="1748" spans="1:17" ht="20.100000000000001" customHeight="1" x14ac:dyDescent="0.25">
      <c r="A1748" s="121"/>
      <c r="B1748" s="23"/>
      <c r="C1748" s="59"/>
      <c r="D1748" s="399"/>
      <c r="E1748" s="271"/>
      <c r="F1748" s="483"/>
      <c r="G1748" s="484"/>
      <c r="H1748" s="51">
        <v>44856</v>
      </c>
      <c r="I1748" s="415" t="s">
        <v>13</v>
      </c>
      <c r="J1748" s="52">
        <f t="shared" si="164"/>
        <v>2743433.2191780824</v>
      </c>
      <c r="K1748" s="52">
        <v>4500000</v>
      </c>
      <c r="L1748" s="53">
        <f>+L1747-K1748</f>
        <v>21000000</v>
      </c>
      <c r="M1748" s="103">
        <f>+J1748+K1748</f>
        <v>7243433.2191780824</v>
      </c>
      <c r="N1748" s="25"/>
      <c r="O1748" s="194" t="str">
        <f>+IF(J1893="vencida",IF(D1895='Reporte - Oscuro'!$C$40,'Reporte - Oscuro'!$C$40&amp;" vencida",IF(D1895='Reporte - Oscuro'!$C$41,'Reporte - Oscuro'!$C$41&amp;" vencida",IF(D1895='Reporte - Oscuro'!$C$42,'Reporte - Oscuro'!$C$42&amp;" vencida",'Reporte - Oscuro'!$C$43&amp;" vencida"))),D1895&amp;" vigente")</f>
        <v>ON Pyme vencida</v>
      </c>
    </row>
    <row r="1749" spans="1:17" ht="15.95" customHeight="1" x14ac:dyDescent="0.25">
      <c r="A1749" s="121"/>
      <c r="B1749" s="23"/>
      <c r="C1749" s="59"/>
      <c r="D1749" s="399"/>
      <c r="E1749" s="271"/>
      <c r="F1749" s="483"/>
      <c r="G1749" s="484"/>
      <c r="H1749" s="51">
        <v>44979</v>
      </c>
      <c r="I1749" s="415" t="s">
        <v>13</v>
      </c>
      <c r="J1749" s="52">
        <f t="shared" si="164"/>
        <v>2277816.780821918</v>
      </c>
      <c r="K1749" s="52">
        <v>4500000</v>
      </c>
      <c r="L1749" s="53">
        <f>+L1748-K1749</f>
        <v>16500000</v>
      </c>
      <c r="M1749" s="103">
        <f>+J1749+K1749</f>
        <v>6777816.7808219176</v>
      </c>
      <c r="N1749" s="25"/>
      <c r="O1749" s="195"/>
    </row>
    <row r="1750" spans="1:17" ht="15.95" customHeight="1" x14ac:dyDescent="0.25">
      <c r="A1750" s="121"/>
      <c r="B1750" s="32"/>
      <c r="C1750" s="60"/>
      <c r="D1750" s="400" t="str">
        <f>+B1737</f>
        <v>Nestor Gastaldi I</v>
      </c>
      <c r="E1750" s="401"/>
      <c r="F1750" s="483"/>
      <c r="G1750" s="484">
        <f>+J1739</f>
        <v>0</v>
      </c>
      <c r="H1750" s="51">
        <v>45099</v>
      </c>
      <c r="I1750" s="415" t="s">
        <v>13</v>
      </c>
      <c r="J1750" s="52">
        <f t="shared" si="164"/>
        <v>2559760.273972603</v>
      </c>
      <c r="K1750" s="52">
        <v>4500000</v>
      </c>
      <c r="L1750" s="53">
        <f>+L1749-K1750</f>
        <v>12000000</v>
      </c>
      <c r="M1750" s="103">
        <f>+J1750+K1750</f>
        <v>7059760.2739726026</v>
      </c>
      <c r="N1750" s="25"/>
      <c r="O1750" s="195"/>
    </row>
    <row r="1751" spans="1:17" ht="15.95" customHeight="1" x14ac:dyDescent="0.25">
      <c r="A1751" s="121"/>
      <c r="B1751" s="32"/>
      <c r="C1751" s="150"/>
      <c r="D1751" s="272"/>
      <c r="E1751" s="272"/>
      <c r="F1751" s="483"/>
      <c r="G1751" s="484"/>
      <c r="H1751" s="51">
        <v>45221</v>
      </c>
      <c r="I1751" s="415" t="s">
        <v>13</v>
      </c>
      <c r="J1751" s="52">
        <f t="shared" si="164"/>
        <v>2293767.1232876712</v>
      </c>
      <c r="K1751" s="52">
        <v>4500000</v>
      </c>
      <c r="L1751" s="53">
        <f t="shared" ref="L1751:L1752" si="165">+L1750-K1751</f>
        <v>7500000</v>
      </c>
      <c r="M1751" s="103">
        <f t="shared" ref="M1751:M1752" si="166">+J1751+K1751</f>
        <v>6793767.1232876712</v>
      </c>
      <c r="N1751" s="25"/>
      <c r="O1751" s="195"/>
    </row>
    <row r="1752" spans="1:17" ht="15.95" customHeight="1" x14ac:dyDescent="0.25">
      <c r="A1752" s="121"/>
      <c r="B1752" s="32"/>
      <c r="C1752" s="638" t="s">
        <v>36</v>
      </c>
      <c r="D1752" s="640"/>
      <c r="E1752" s="272"/>
      <c r="F1752" s="483"/>
      <c r="G1752" s="484"/>
      <c r="H1752" s="51">
        <v>45344</v>
      </c>
      <c r="I1752" s="415" t="s">
        <v>13</v>
      </c>
      <c r="J1752" s="52">
        <f t="shared" si="164"/>
        <v>813505.99315068498</v>
      </c>
      <c r="K1752" s="52">
        <f>D1758*D1765</f>
        <v>7500000</v>
      </c>
      <c r="L1752" s="53">
        <f t="shared" si="165"/>
        <v>0</v>
      </c>
      <c r="M1752" s="103">
        <f t="shared" si="166"/>
        <v>8313505.993150685</v>
      </c>
      <c r="N1752" s="25"/>
      <c r="O1752" s="195"/>
    </row>
    <row r="1753" spans="1:17" ht="15.95" customHeight="1" x14ac:dyDescent="0.25">
      <c r="A1753" s="121"/>
      <c r="B1753" s="32"/>
      <c r="C1753" s="59"/>
      <c r="D1753" s="62"/>
      <c r="E1753" s="272"/>
      <c r="F1753" s="483"/>
      <c r="G1753" s="484"/>
      <c r="H1753" s="51"/>
      <c r="I1753" s="415"/>
      <c r="J1753" s="52"/>
      <c r="K1753" s="52"/>
      <c r="L1753" s="53"/>
      <c r="M1753" s="103"/>
      <c r="N1753" s="25"/>
      <c r="O1753" s="197">
        <f>+M1898</f>
        <v>-100000000</v>
      </c>
      <c r="P1753" s="197">
        <f>-M1898</f>
        <v>100000000</v>
      </c>
      <c r="Q1753" s="197"/>
    </row>
    <row r="1754" spans="1:17" ht="15.95" customHeight="1" x14ac:dyDescent="0.25">
      <c r="A1754" s="121"/>
      <c r="B1754" s="32"/>
      <c r="C1754" s="59" t="s">
        <v>9</v>
      </c>
      <c r="D1754" s="98" t="s">
        <v>18</v>
      </c>
      <c r="E1754" s="272"/>
      <c r="F1754" s="483"/>
      <c r="G1754" s="484"/>
      <c r="H1754" s="51"/>
      <c r="I1754" s="415"/>
      <c r="J1754" s="52"/>
      <c r="K1754" s="52"/>
      <c r="L1754" s="53"/>
      <c r="M1754" s="103"/>
      <c r="N1754" s="25"/>
      <c r="O1754" s="197">
        <f t="shared" ref="O1754:O1759" si="167">+M1899+O1753</f>
        <v>-61586326.388888888</v>
      </c>
      <c r="P1754" s="197">
        <f t="shared" ref="P1754:P1759" si="168">+(M1899/(1+$J$1908)^((H1899-$H$1898)/365))/$P$1753</f>
        <v>0.3841367361111111</v>
      </c>
      <c r="Q1754" s="197">
        <f t="shared" ref="Q1754:Q1759" si="169">+P1754*((H1899-$H$1898)/365)</f>
        <v>0.22521989459665145</v>
      </c>
    </row>
    <row r="1755" spans="1:17" ht="15.95" customHeight="1" x14ac:dyDescent="0.25">
      <c r="A1755" s="121"/>
      <c r="B1755" s="23"/>
      <c r="C1755" s="59" t="s">
        <v>10</v>
      </c>
      <c r="D1755" s="65">
        <v>44488</v>
      </c>
      <c r="E1755" s="272"/>
      <c r="F1755" s="483"/>
      <c r="G1755" s="484"/>
      <c r="H1755" s="51"/>
      <c r="I1755" s="61"/>
      <c r="J1755" s="105"/>
      <c r="K1755" s="105"/>
      <c r="L1755" s="106"/>
      <c r="M1755" s="402"/>
      <c r="N1755" s="25"/>
      <c r="O1755" s="197">
        <f t="shared" si="167"/>
        <v>-42117281.25</v>
      </c>
      <c r="P1755" s="197">
        <f t="shared" si="168"/>
        <v>0.19469045138888888</v>
      </c>
      <c r="Q1755" s="197">
        <f t="shared" si="169"/>
        <v>0.13068263175418568</v>
      </c>
    </row>
    <row r="1756" spans="1:17" ht="15.95" customHeight="1" x14ac:dyDescent="0.25">
      <c r="A1756" s="121"/>
      <c r="B1756" s="23"/>
      <c r="C1756" s="59" t="s">
        <v>11</v>
      </c>
      <c r="D1756" s="65">
        <v>44491</v>
      </c>
      <c r="E1756" s="36"/>
      <c r="F1756" s="483"/>
      <c r="G1756" s="484"/>
      <c r="H1756" s="109"/>
      <c r="I1756" s="109"/>
      <c r="J1756" s="109"/>
      <c r="K1756" s="109"/>
      <c r="L1756" s="109"/>
      <c r="M1756" s="109"/>
      <c r="N1756" s="25"/>
      <c r="O1756" s="197">
        <f t="shared" si="167"/>
        <v>-23420809.027777776</v>
      </c>
      <c r="P1756" s="197">
        <f t="shared" si="168"/>
        <v>0.18696472222222224</v>
      </c>
      <c r="Q1756" s="197">
        <f t="shared" si="169"/>
        <v>0.1398393675799087</v>
      </c>
    </row>
    <row r="1757" spans="1:17" ht="15.95" customHeight="1" x14ac:dyDescent="0.25">
      <c r="A1757" s="121"/>
      <c r="B1757" s="23"/>
      <c r="C1757" s="59" t="s">
        <v>12</v>
      </c>
      <c r="D1757" s="65">
        <v>45344</v>
      </c>
      <c r="E1757" s="36"/>
      <c r="F1757" s="483"/>
      <c r="G1757" s="484"/>
      <c r="H1757" s="656" t="s">
        <v>43</v>
      </c>
      <c r="I1757" s="656"/>
      <c r="J1757" s="92">
        <f>+J1739+(L1752*($P$4+D1761)*($M$4-H1752)/365)</f>
        <v>0</v>
      </c>
      <c r="K1757" s="92"/>
      <c r="L1757" s="24"/>
      <c r="M1757" s="24"/>
      <c r="N1757" s="25"/>
      <c r="O1757" s="197">
        <f t="shared" si="167"/>
        <v>-5067333.3333333321</v>
      </c>
      <c r="P1757" s="197">
        <f t="shared" si="168"/>
        <v>0.18353475694444443</v>
      </c>
      <c r="Q1757" s="197">
        <f t="shared" si="169"/>
        <v>0.15286182496194825</v>
      </c>
    </row>
    <row r="1758" spans="1:17" ht="15.95" customHeight="1" x14ac:dyDescent="0.25">
      <c r="A1758" s="121"/>
      <c r="B1758" s="23"/>
      <c r="C1758" s="59" t="s">
        <v>27</v>
      </c>
      <c r="D1758" s="66">
        <v>30000000</v>
      </c>
      <c r="E1758" s="36"/>
      <c r="F1758" s="483"/>
      <c r="G1758" s="484"/>
      <c r="H1758" s="657"/>
      <c r="I1758" s="657"/>
      <c r="J1758" s="33"/>
      <c r="K1758" s="24"/>
      <c r="L1758" s="33"/>
      <c r="M1758" s="33"/>
      <c r="N1758" s="25"/>
      <c r="O1758" s="197">
        <f t="shared" si="167"/>
        <v>12760148.148148149</v>
      </c>
      <c r="P1758" s="197">
        <f t="shared" si="168"/>
        <v>0.1782748148148148</v>
      </c>
      <c r="Q1758" s="197">
        <f t="shared" si="169"/>
        <v>0.16411051445966512</v>
      </c>
    </row>
    <row r="1759" spans="1:17" ht="15.95" customHeight="1" x14ac:dyDescent="0.25">
      <c r="A1759" s="121"/>
      <c r="B1759" s="23"/>
      <c r="C1759" s="59" t="s">
        <v>26</v>
      </c>
      <c r="D1759" s="66">
        <v>4</v>
      </c>
      <c r="E1759" s="36"/>
      <c r="F1759" s="483"/>
      <c r="G1759" s="484"/>
      <c r="H1759" s="24"/>
      <c r="I1759" s="24"/>
      <c r="J1759" s="24"/>
      <c r="K1759" s="24"/>
      <c r="L1759" s="24"/>
      <c r="M1759" s="24"/>
      <c r="N1759" s="25"/>
      <c r="O1759" s="197">
        <f t="shared" si="167"/>
        <v>29952389.467592593</v>
      </c>
      <c r="P1759" s="197">
        <f t="shared" si="168"/>
        <v>0.17192241319444443</v>
      </c>
      <c r="Q1759" s="197">
        <f t="shared" si="169"/>
        <v>0.17192241319444443</v>
      </c>
    </row>
    <row r="1760" spans="1:17" ht="15.95" customHeight="1" x14ac:dyDescent="0.25">
      <c r="A1760" s="121"/>
      <c r="B1760" s="23"/>
      <c r="C1760" s="59" t="s">
        <v>19</v>
      </c>
      <c r="D1760" s="67" t="s">
        <v>20</v>
      </c>
      <c r="E1760" s="36"/>
      <c r="F1760" s="483"/>
      <c r="G1760" s="484"/>
      <c r="H1760" s="638" t="s">
        <v>44</v>
      </c>
      <c r="I1760" s="639"/>
      <c r="J1760" s="639"/>
      <c r="K1760" s="639"/>
      <c r="L1760" s="639"/>
      <c r="M1760" s="640"/>
      <c r="N1760" s="25"/>
      <c r="P1760" s="29"/>
    </row>
    <row r="1761" spans="1:16" ht="15.95" customHeight="1" x14ac:dyDescent="0.25">
      <c r="A1761" s="121"/>
      <c r="B1761" s="23"/>
      <c r="C1761" s="59" t="s">
        <v>14</v>
      </c>
      <c r="D1761" s="68">
        <v>7.0000000000000007E-2</v>
      </c>
      <c r="E1761" s="36"/>
      <c r="F1761" s="480"/>
      <c r="G1761" s="484"/>
      <c r="H1761" s="23"/>
      <c r="I1761" s="24"/>
      <c r="J1761" s="24"/>
      <c r="K1761" s="24"/>
      <c r="L1761" s="24"/>
      <c r="M1761" s="25"/>
      <c r="N1761" s="25"/>
      <c r="P1761" s="29"/>
    </row>
    <row r="1762" spans="1:16" ht="15.95" customHeight="1" x14ac:dyDescent="0.25">
      <c r="A1762" s="121"/>
      <c r="B1762" s="23"/>
      <c r="C1762" s="59" t="s">
        <v>31</v>
      </c>
      <c r="D1762" s="68"/>
      <c r="E1762" s="41"/>
      <c r="F1762" s="480"/>
      <c r="G1762" s="484"/>
      <c r="H1762" s="23"/>
      <c r="I1762" s="24"/>
      <c r="J1762" s="24"/>
      <c r="K1762" s="24"/>
      <c r="L1762" s="24"/>
      <c r="M1762" s="25"/>
      <c r="N1762" s="25"/>
      <c r="P1762" s="29"/>
    </row>
    <row r="1763" spans="1:16" ht="15.95" customHeight="1" x14ac:dyDescent="0.25">
      <c r="A1763" s="121"/>
      <c r="B1763" s="23"/>
      <c r="C1763" s="59" t="s">
        <v>32</v>
      </c>
      <c r="D1763" s="68"/>
      <c r="E1763" s="36"/>
      <c r="F1763" s="480"/>
      <c r="G1763" s="484"/>
      <c r="H1763" s="96"/>
      <c r="I1763" s="35"/>
      <c r="J1763" s="24"/>
      <c r="K1763" s="24"/>
      <c r="L1763" s="24"/>
      <c r="M1763" s="25"/>
      <c r="N1763" s="25"/>
    </row>
    <row r="1764" spans="1:16" ht="15.95" customHeight="1" x14ac:dyDescent="0.25">
      <c r="A1764" s="121"/>
      <c r="B1764" s="23"/>
      <c r="C1764" s="59" t="s">
        <v>42</v>
      </c>
      <c r="D1764" s="68">
        <v>0.15</v>
      </c>
      <c r="E1764" s="43"/>
      <c r="F1764" s="480"/>
      <c r="G1764" s="484"/>
      <c r="H1764" s="23"/>
      <c r="I1764" s="24"/>
      <c r="J1764" s="24"/>
      <c r="K1764" s="24"/>
      <c r="L1764" s="24"/>
      <c r="M1764" s="25"/>
      <c r="N1764" s="25"/>
      <c r="P1764" s="37"/>
    </row>
    <row r="1765" spans="1:16" ht="15.95" customHeight="1" x14ac:dyDescent="0.25">
      <c r="A1765" s="121"/>
      <c r="B1765" s="23"/>
      <c r="C1765" s="60" t="s">
        <v>55</v>
      </c>
      <c r="D1765" s="110">
        <v>0.25</v>
      </c>
      <c r="E1765" s="43"/>
      <c r="F1765" s="480"/>
      <c r="G1765" s="484"/>
      <c r="H1765" s="23"/>
      <c r="I1765" s="24"/>
      <c r="J1765" s="24"/>
      <c r="K1765" s="24"/>
      <c r="L1765" s="24"/>
      <c r="M1765" s="25"/>
      <c r="N1765" s="25"/>
    </row>
    <row r="1766" spans="1:16" ht="15.95" customHeight="1" x14ac:dyDescent="0.25">
      <c r="A1766" s="121"/>
      <c r="B1766" s="23"/>
      <c r="E1766" s="43"/>
      <c r="F1766" s="480"/>
      <c r="G1766" s="484"/>
      <c r="H1766" s="23"/>
      <c r="I1766" s="24"/>
      <c r="J1766" s="24"/>
      <c r="K1766" s="24"/>
      <c r="L1766" s="24"/>
      <c r="M1766" s="25"/>
      <c r="N1766" s="25"/>
    </row>
    <row r="1767" spans="1:16" ht="15.95" customHeight="1" x14ac:dyDescent="0.25">
      <c r="A1767" s="121"/>
      <c r="B1767" s="23"/>
      <c r="E1767" s="44"/>
      <c r="F1767" s="480"/>
      <c r="G1767" s="484"/>
      <c r="H1767" s="23"/>
      <c r="I1767" s="24"/>
      <c r="J1767" s="24"/>
      <c r="K1767" s="24"/>
      <c r="L1767" s="24"/>
      <c r="M1767" s="25"/>
      <c r="N1767" s="25"/>
    </row>
    <row r="1768" spans="1:16" ht="15.95" customHeight="1" x14ac:dyDescent="0.25">
      <c r="A1768" s="121"/>
      <c r="B1768" s="23"/>
      <c r="E1768" s="24"/>
      <c r="F1768" s="480"/>
      <c r="G1768" s="484"/>
      <c r="H1768" s="23"/>
      <c r="I1768" s="24"/>
      <c r="J1768" s="24"/>
      <c r="K1768" s="24"/>
      <c r="L1768" s="24"/>
      <c r="M1768" s="25"/>
      <c r="N1768" s="25"/>
    </row>
    <row r="1769" spans="1:16" ht="15.95" customHeight="1" x14ac:dyDescent="0.25">
      <c r="A1769" s="121"/>
      <c r="B1769" s="23"/>
      <c r="E1769" s="24"/>
      <c r="F1769" s="480"/>
      <c r="G1769" s="484"/>
      <c r="H1769" s="23"/>
      <c r="I1769" s="24"/>
      <c r="J1769" s="24"/>
      <c r="K1769" s="24"/>
      <c r="L1769" s="24"/>
      <c r="M1769" s="25"/>
      <c r="N1769" s="25"/>
    </row>
    <row r="1770" spans="1:16" ht="15.95" customHeight="1" x14ac:dyDescent="0.25">
      <c r="A1770" s="121"/>
      <c r="B1770" s="23"/>
      <c r="C1770" s="24"/>
      <c r="D1770" s="24"/>
      <c r="E1770" s="24"/>
      <c r="F1770" s="480"/>
      <c r="G1770" s="485"/>
      <c r="H1770" s="23"/>
      <c r="I1770" s="24"/>
      <c r="J1770" s="24"/>
      <c r="K1770" s="24"/>
      <c r="L1770" s="24"/>
      <c r="M1770" s="25"/>
      <c r="N1770" s="25"/>
    </row>
    <row r="1771" spans="1:16" ht="15.95" customHeight="1" x14ac:dyDescent="0.25">
      <c r="A1771" s="121"/>
      <c r="B1771" s="23"/>
      <c r="C1771" s="24"/>
      <c r="D1771" s="24"/>
      <c r="E1771" s="24"/>
      <c r="F1771" s="480"/>
      <c r="G1771" s="485"/>
      <c r="H1771" s="23"/>
      <c r="I1771" s="24"/>
      <c r="J1771" s="24"/>
      <c r="K1771" s="24"/>
      <c r="L1771" s="24"/>
      <c r="M1771" s="25"/>
      <c r="N1771" s="25"/>
    </row>
    <row r="1772" spans="1:16" ht="15.95" customHeight="1" x14ac:dyDescent="0.25">
      <c r="A1772" s="121"/>
      <c r="B1772" s="23"/>
      <c r="C1772" s="24"/>
      <c r="D1772" s="24"/>
      <c r="E1772" s="24"/>
      <c r="F1772" s="480"/>
      <c r="G1772" s="485"/>
      <c r="H1772" s="23"/>
      <c r="I1772" s="24"/>
      <c r="J1772" s="24"/>
      <c r="K1772" s="24"/>
      <c r="L1772" s="24"/>
      <c r="M1772" s="25"/>
      <c r="N1772" s="25"/>
    </row>
    <row r="1773" spans="1:16" ht="15.95" customHeight="1" x14ac:dyDescent="0.25">
      <c r="A1773" s="121"/>
      <c r="B1773" s="23"/>
      <c r="C1773" s="24"/>
      <c r="D1773" s="24"/>
      <c r="E1773" s="24"/>
      <c r="F1773" s="480"/>
      <c r="G1773" s="485"/>
      <c r="H1773" s="26"/>
      <c r="I1773" s="27"/>
      <c r="J1773" s="27"/>
      <c r="K1773" s="27"/>
      <c r="L1773" s="27"/>
      <c r="M1773" s="28"/>
      <c r="N1773" s="25"/>
    </row>
    <row r="1774" spans="1:16" ht="15.95" customHeight="1" x14ac:dyDescent="0.25">
      <c r="A1774" s="121"/>
      <c r="B1774" s="26"/>
      <c r="C1774" s="27"/>
      <c r="D1774" s="27"/>
      <c r="E1774" s="27"/>
      <c r="F1774" s="481"/>
      <c r="G1774" s="486"/>
      <c r="H1774" s="27"/>
      <c r="I1774" s="27"/>
      <c r="J1774" s="27"/>
      <c r="K1774" s="27"/>
      <c r="L1774" s="27"/>
      <c r="M1774" s="27"/>
      <c r="N1774" s="28"/>
    </row>
    <row r="1775" spans="1:16" ht="15.95" customHeight="1" x14ac:dyDescent="0.25">
      <c r="A1775" s="122" t="s">
        <v>131</v>
      </c>
      <c r="B1775" s="661" t="s">
        <v>170</v>
      </c>
      <c r="C1775" s="662"/>
      <c r="D1775" s="662"/>
      <c r="E1775" s="662"/>
      <c r="F1775" s="662"/>
      <c r="G1775" s="662"/>
      <c r="H1775" s="662"/>
      <c r="I1775" s="662"/>
      <c r="J1775" s="662"/>
      <c r="K1775" s="662"/>
      <c r="L1775" s="662"/>
      <c r="M1775" s="662"/>
      <c r="N1775" s="663"/>
      <c r="O1775" s="195"/>
    </row>
    <row r="1776" spans="1:16" ht="15.95" customHeight="1" x14ac:dyDescent="0.25">
      <c r="A1776" s="121"/>
      <c r="B1776" s="23"/>
      <c r="C1776" s="24"/>
      <c r="D1776" s="24"/>
      <c r="E1776" s="24"/>
      <c r="F1776" s="483"/>
      <c r="G1776" s="484"/>
      <c r="H1776" s="31"/>
      <c r="I1776" s="31"/>
      <c r="J1776" s="24"/>
      <c r="K1776" s="24"/>
      <c r="L1776" s="24"/>
      <c r="M1776" s="24"/>
      <c r="N1776" s="25"/>
      <c r="O1776" s="195"/>
    </row>
    <row r="1777" spans="1:17" ht="15.95" customHeight="1" x14ac:dyDescent="0.25">
      <c r="A1777" s="121"/>
      <c r="B1777" s="23"/>
      <c r="C1777" s="638" t="s">
        <v>37</v>
      </c>
      <c r="D1777" s="639"/>
      <c r="E1777" s="640"/>
      <c r="F1777" s="483"/>
      <c r="G1777" s="484"/>
      <c r="H1777" s="641" t="s">
        <v>28</v>
      </c>
      <c r="I1777" s="642"/>
      <c r="J1777" s="39">
        <f t="array" ref="J1777">+$D$1795-SUMIF($H$1783:$H$1794,"&lt;"&amp;$M$4,$K$1783:$K$1794)</f>
        <v>0</v>
      </c>
      <c r="K1777" s="24"/>
      <c r="L1777" s="24"/>
      <c r="M1777" s="24"/>
      <c r="N1777" s="25"/>
      <c r="O1777" s="195"/>
    </row>
    <row r="1778" spans="1:17" ht="20.100000000000001" customHeight="1" x14ac:dyDescent="0.25">
      <c r="A1778" s="121"/>
      <c r="B1778" s="23"/>
      <c r="C1778" s="58"/>
      <c r="D1778" s="643"/>
      <c r="E1778" s="644"/>
      <c r="F1778" s="483"/>
      <c r="G1778" s="484"/>
      <c r="H1778" s="645" t="s">
        <v>29</v>
      </c>
      <c r="I1778" s="646"/>
      <c r="J1778" s="40">
        <f>+$D$1794</f>
        <v>44438</v>
      </c>
      <c r="K1778" s="24"/>
      <c r="L1778" s="24"/>
      <c r="M1778" s="24"/>
      <c r="N1778" s="25"/>
      <c r="O1778" s="194" t="str">
        <f>+D1931</f>
        <v>ON Pyme CNV Garantizada</v>
      </c>
    </row>
    <row r="1779" spans="1:17" ht="15.95" customHeight="1" x14ac:dyDescent="0.25">
      <c r="A1779" s="121"/>
      <c r="B1779" s="23"/>
      <c r="C1779" s="59" t="s">
        <v>25</v>
      </c>
      <c r="D1779" s="647"/>
      <c r="E1779" s="648"/>
      <c r="F1779" s="483"/>
      <c r="G1779" s="484"/>
      <c r="H1779" s="649" t="s">
        <v>30</v>
      </c>
      <c r="I1779" s="650"/>
      <c r="J1779" s="42" t="str">
        <f t="array" ref="J1779">+IF(H1793&gt;=M4,MIN(IF(H1783:H1794&gt;=$M$4,H1783:H1794,"")),"vencida")</f>
        <v>vencida</v>
      </c>
      <c r="K1779" s="24"/>
      <c r="L1779" s="24"/>
      <c r="M1779" s="24"/>
      <c r="N1779" s="25"/>
      <c r="O1779" s="195"/>
    </row>
    <row r="1780" spans="1:17" ht="15.95" customHeight="1" x14ac:dyDescent="0.25">
      <c r="A1780" s="121"/>
      <c r="B1780" s="23"/>
      <c r="C1780" s="59" t="s">
        <v>6</v>
      </c>
      <c r="D1780" s="647" t="s">
        <v>169</v>
      </c>
      <c r="E1780" s="648"/>
      <c r="F1780" s="483"/>
      <c r="G1780" s="484"/>
      <c r="H1780" s="24"/>
      <c r="I1780" s="24"/>
      <c r="J1780" s="24"/>
      <c r="K1780" s="24"/>
      <c r="L1780" s="24"/>
      <c r="M1780" s="24"/>
      <c r="N1780" s="25"/>
      <c r="O1780" s="194" t="str">
        <f>+IF(J1929="vencida",IF(D1931='Reporte - Oscuro'!$C$40,'Reporte - Oscuro'!$C$40&amp;" vencida",IF(D1931='Reporte - Oscuro'!$C$41,'Reporte - Oscuro'!$C$41&amp;" vencida",IF(D1931='Reporte - Oscuro'!$C$42,'Reporte - Oscuro'!$C$42&amp;" vencida",'Reporte - Oscuro'!$C$43&amp;" vencida"))),D1931&amp;" vigente")</f>
        <v>ON Pyme CNV Garantizada vencida</v>
      </c>
    </row>
    <row r="1781" spans="1:17" ht="15.95" customHeight="1" x14ac:dyDescent="0.25">
      <c r="A1781" s="121"/>
      <c r="B1781" s="23"/>
      <c r="C1781" s="59" t="s">
        <v>8</v>
      </c>
      <c r="D1781" s="647" t="s">
        <v>17</v>
      </c>
      <c r="E1781" s="648"/>
      <c r="F1781" s="483"/>
      <c r="G1781" s="484"/>
      <c r="H1781" s="651" t="s">
        <v>41</v>
      </c>
      <c r="I1781" s="652"/>
      <c r="J1781" s="652"/>
      <c r="K1781" s="652"/>
      <c r="L1781" s="653"/>
      <c r="M1781" s="24"/>
      <c r="N1781" s="25"/>
      <c r="O1781" s="195"/>
    </row>
    <row r="1782" spans="1:17" ht="15.95" customHeight="1" x14ac:dyDescent="0.25">
      <c r="A1782" s="121"/>
      <c r="B1782" s="23"/>
      <c r="C1782" s="59" t="s">
        <v>33</v>
      </c>
      <c r="D1782" s="73" t="s">
        <v>309</v>
      </c>
      <c r="E1782" s="273">
        <v>1</v>
      </c>
      <c r="F1782" s="483">
        <f>+E1782*J1777</f>
        <v>0</v>
      </c>
      <c r="G1782" s="484"/>
      <c r="H1782" s="81" t="s">
        <v>0</v>
      </c>
      <c r="I1782" s="82" t="s">
        <v>2</v>
      </c>
      <c r="J1782" s="82" t="s">
        <v>3</v>
      </c>
      <c r="K1782" s="82" t="s">
        <v>4</v>
      </c>
      <c r="L1782" s="83" t="s">
        <v>5</v>
      </c>
      <c r="M1782" s="82" t="s">
        <v>44</v>
      </c>
      <c r="N1782" s="25"/>
      <c r="O1782" s="195"/>
    </row>
    <row r="1783" spans="1:17" ht="15.95" customHeight="1" x14ac:dyDescent="0.25">
      <c r="A1783" s="121"/>
      <c r="B1783" s="23"/>
      <c r="C1783" s="59" t="s">
        <v>34</v>
      </c>
      <c r="D1783" s="654" t="s">
        <v>48</v>
      </c>
      <c r="E1783" s="655"/>
      <c r="F1783" s="483"/>
      <c r="G1783" s="484"/>
      <c r="H1783" s="45"/>
      <c r="I1783" s="46"/>
      <c r="J1783" s="46"/>
      <c r="K1783" s="46"/>
      <c r="L1783" s="47"/>
      <c r="M1783" s="23"/>
      <c r="N1783" s="25"/>
      <c r="O1783" s="195"/>
    </row>
    <row r="1784" spans="1:17" ht="15.95" customHeight="1" x14ac:dyDescent="0.25">
      <c r="A1784" s="121"/>
      <c r="B1784" s="23"/>
      <c r="C1784" s="79" t="s">
        <v>38</v>
      </c>
      <c r="D1784" s="75"/>
      <c r="E1784" s="76"/>
      <c r="F1784" s="483"/>
      <c r="G1784" s="484"/>
      <c r="H1784" s="48">
        <f>+$D$1793</f>
        <v>43342</v>
      </c>
      <c r="I1784" s="70"/>
      <c r="J1784" s="49"/>
      <c r="K1784" s="49"/>
      <c r="L1784" s="50">
        <f>+D1795</f>
        <v>5000000</v>
      </c>
      <c r="M1784" s="93">
        <f>-L1784</f>
        <v>-5000000</v>
      </c>
      <c r="N1784" s="25"/>
      <c r="O1784" s="195"/>
    </row>
    <row r="1785" spans="1:17" ht="15.95" customHeight="1" x14ac:dyDescent="0.25">
      <c r="A1785" s="121"/>
      <c r="B1785" s="23"/>
      <c r="C1785" s="59"/>
      <c r="D1785" s="73"/>
      <c r="E1785" s="74"/>
      <c r="F1785" s="483"/>
      <c r="G1785" s="484"/>
      <c r="H1785" s="51">
        <f>IF(DAY(H1784)=DAY($H$1784),IF(WEEKDAY(EDATE(H1784,$D$1796),3)&lt;5,EDATE(H1784,$D$1796),WORKDAY(EDATE(H1784,$D$1796),1)),IF(WEEKDAY(EDATE($H$1784,$D$1796*COUNT($H$1784:H1784)),3)&lt;5,EDATE($H$1784,$D$1796*COUNT($H$1784:H1784)),WORKDAY(EDATE($H$1784,$D$1796*COUNT($H$1784:H1784)),1)))</f>
        <v>43465</v>
      </c>
      <c r="I1785" s="71" t="s">
        <v>13</v>
      </c>
      <c r="J1785" s="52">
        <v>888333.33333333349</v>
      </c>
      <c r="K1785" s="52">
        <f t="shared" ref="K1785:K1792" si="170">+IF(OR(I1785="A + C",I1785="A"),$D$1795*$D$1801,0)</f>
        <v>555500</v>
      </c>
      <c r="L1785" s="53">
        <f t="shared" ref="L1785:L1793" si="171">+L1784-K1785</f>
        <v>4444500</v>
      </c>
      <c r="M1785" s="94">
        <f t="shared" ref="M1785:M1793" si="172">+J1785+K1785</f>
        <v>1443833.3333333335</v>
      </c>
      <c r="N1785" s="25"/>
      <c r="O1785" s="197">
        <f>+M1934</f>
        <v>-5000000</v>
      </c>
      <c r="P1785" s="197">
        <f>-M1934</f>
        <v>5000000</v>
      </c>
      <c r="Q1785" s="197"/>
    </row>
    <row r="1786" spans="1:17" ht="15.95" customHeight="1" x14ac:dyDescent="0.25">
      <c r="A1786" s="121"/>
      <c r="B1786" s="23"/>
      <c r="C1786" s="60"/>
      <c r="D1786" s="77"/>
      <c r="E1786" s="78"/>
      <c r="F1786" s="483"/>
      <c r="G1786" s="484"/>
      <c r="H1786" s="51">
        <f>IF(DAY(H1785)=DAY($H$1784),IF(WEEKDAY(EDATE(H1785,$D$1796),3)&lt;5,EDATE(H1785,$D$1796),WORKDAY(EDATE(H1785,$D$1796),1)),IF(WEEKDAY(EDATE($H$1784,$D$1796*COUNT($H$1784:H1785)),3)&lt;5,EDATE($H$1784,$D$1796*COUNT($H$1784:H1785)),WORKDAY(EDATE($H$1784,$D$1796*COUNT($H$1784:H1785)),1)))</f>
        <v>43585</v>
      </c>
      <c r="I1786" s="71" t="s">
        <v>13</v>
      </c>
      <c r="J1786" s="52">
        <v>864362.65624999988</v>
      </c>
      <c r="K1786" s="52">
        <f t="shared" si="170"/>
        <v>555500</v>
      </c>
      <c r="L1786" s="53">
        <f t="shared" si="171"/>
        <v>3889000</v>
      </c>
      <c r="M1786" s="94">
        <f t="shared" si="172"/>
        <v>1419862.65625</v>
      </c>
      <c r="N1786" s="25"/>
      <c r="O1786" s="197">
        <f t="shared" ref="O1786:O1791" si="173">+M1935+O1785</f>
        <v>-2678354.166666667</v>
      </c>
      <c r="P1786" s="197">
        <f t="shared" ref="P1786:P1791" si="174">+(M1935/(1+$J$1944)^((H1935-$H$1934)/365))/$P$1785</f>
        <v>0.46432916666666663</v>
      </c>
      <c r="Q1786" s="197">
        <f t="shared" ref="Q1786:Q1791" si="175">+P1786*((H1935-$H$1934)/365)</f>
        <v>0.23661705479452053</v>
      </c>
    </row>
    <row r="1787" spans="1:17" ht="15.95" customHeight="1" x14ac:dyDescent="0.25">
      <c r="A1787" s="121"/>
      <c r="B1787" s="23"/>
      <c r="C1787" s="60"/>
      <c r="D1787" s="471" t="str">
        <f>+B1775</f>
        <v>Paredes Construcciones I</v>
      </c>
      <c r="E1787" s="472"/>
      <c r="F1787" s="483"/>
      <c r="G1787" s="484">
        <f>+J1777</f>
        <v>0</v>
      </c>
      <c r="H1787" s="51">
        <f>IF(DAY(H1786)=DAY($H$1784),IF(WEEKDAY(EDATE(H1786,$D$1796),3)&lt;5,EDATE(H1786,$D$1796),WORKDAY(EDATE(H1786,$D$1796),1)),IF(WEEKDAY(EDATE($H$1784,$D$1796*COUNT($H$1784:H1786)),3)&lt;5,EDATE($H$1784,$D$1796*COUNT($H$1784:H1786)),WORKDAY(EDATE($H$1784,$D$1796*COUNT($H$1784:H1786)),1)))</f>
        <v>43707</v>
      </c>
      <c r="I1787" s="71" t="s">
        <v>13</v>
      </c>
      <c r="J1787" s="52">
        <v>825359.22916666663</v>
      </c>
      <c r="K1787" s="52">
        <f t="shared" si="170"/>
        <v>555500</v>
      </c>
      <c r="L1787" s="53">
        <f t="shared" si="171"/>
        <v>3333500</v>
      </c>
      <c r="M1787" s="94">
        <f t="shared" si="172"/>
        <v>1380859.2291666665</v>
      </c>
      <c r="N1787" s="25"/>
      <c r="O1787" s="197">
        <f t="shared" si="173"/>
        <v>-920403.15104166698</v>
      </c>
      <c r="P1787" s="197">
        <f t="shared" si="174"/>
        <v>0.351590203125</v>
      </c>
      <c r="Q1787" s="197">
        <f t="shared" si="175"/>
        <v>0.3544799856164384</v>
      </c>
    </row>
    <row r="1788" spans="1:17" ht="15.95" customHeight="1" x14ac:dyDescent="0.25">
      <c r="A1788" s="121"/>
      <c r="B1788" s="32"/>
      <c r="D1788" s="671"/>
      <c r="E1788" s="671"/>
      <c r="F1788" s="483"/>
      <c r="G1788" s="484"/>
      <c r="H1788" s="51">
        <f>IF(DAY(H1787)=DAY($H$1784),IF(WEEKDAY(EDATE(H1787,$D$1796),3)&lt;5,EDATE(H1787,$D$1796),WORKDAY(EDATE(H1787,$D$1796),1)),IF(WEEKDAY(EDATE($H$1784,$D$1796*COUNT($H$1784:H1787)),3)&lt;5,EDATE($H$1784,$D$1796*COUNT($H$1784:H1787)),WORKDAY(EDATE($H$1784,$D$1796*COUNT($H$1784:H1787)),1)))</f>
        <v>43829</v>
      </c>
      <c r="I1788" s="71" t="s">
        <v>13</v>
      </c>
      <c r="J1788" s="52">
        <v>666514.8055555555</v>
      </c>
      <c r="K1788" s="52">
        <f t="shared" si="170"/>
        <v>555500</v>
      </c>
      <c r="L1788" s="53">
        <f t="shared" si="171"/>
        <v>2778000</v>
      </c>
      <c r="M1788" s="94">
        <f t="shared" si="172"/>
        <v>1222014.8055555555</v>
      </c>
      <c r="N1788" s="25"/>
      <c r="O1788" s="197">
        <f t="shared" si="173"/>
        <v>487781.30729166651</v>
      </c>
      <c r="P1788" s="197">
        <f t="shared" si="174"/>
        <v>0.28163689166666672</v>
      </c>
      <c r="Q1788" s="197">
        <f t="shared" si="175"/>
        <v>0.42438435730593616</v>
      </c>
    </row>
    <row r="1789" spans="1:17" ht="15.95" customHeight="1" x14ac:dyDescent="0.25">
      <c r="A1789" s="121"/>
      <c r="B1789" s="23"/>
      <c r="C1789" s="638" t="s">
        <v>36</v>
      </c>
      <c r="D1789" s="640"/>
      <c r="E1789" s="36"/>
      <c r="F1789" s="483"/>
      <c r="G1789" s="484"/>
      <c r="H1789" s="51">
        <f>IF(DAY(H1788)=DAY($H$1784),IF(WEEKDAY(EDATE(H1788,$D$1796),3)&lt;5,EDATE(H1788,$D$1796),WORKDAY(EDATE(H1788,$D$1796),1)),IF(WEEKDAY(EDATE($H$1784,$D$1796*COUNT($H$1784:H1788)),3)&lt;5,EDATE($H$1784,$D$1796*COUNT($H$1784:H1788)),WORKDAY(EDATE($H$1784,$D$1796*COUNT($H$1784:H1788)),1)))</f>
        <v>43951</v>
      </c>
      <c r="I1789" s="71" t="s">
        <v>13</v>
      </c>
      <c r="J1789" s="52">
        <v>409523.49999999994</v>
      </c>
      <c r="K1789" s="52">
        <f t="shared" si="170"/>
        <v>555500</v>
      </c>
      <c r="L1789" s="53">
        <f t="shared" si="171"/>
        <v>2222500</v>
      </c>
      <c r="M1789" s="94">
        <f t="shared" si="172"/>
        <v>965023.5</v>
      </c>
      <c r="N1789" s="25"/>
      <c r="O1789" s="197">
        <f t="shared" si="173"/>
        <v>1752255.9114583333</v>
      </c>
      <c r="P1789" s="197">
        <f t="shared" si="174"/>
        <v>0.25289492083333337</v>
      </c>
      <c r="Q1789" s="197">
        <f t="shared" si="175"/>
        <v>0.50717556726027413</v>
      </c>
    </row>
    <row r="1790" spans="1:17" ht="15.95" customHeight="1" x14ac:dyDescent="0.25">
      <c r="A1790" s="121"/>
      <c r="B1790" s="23"/>
      <c r="C1790" s="59"/>
      <c r="D1790" s="62"/>
      <c r="E1790" s="36"/>
      <c r="F1790" s="483"/>
      <c r="G1790" s="484"/>
      <c r="H1790" s="51">
        <f>IF(DAY(H1789)=DAY($H$1784),IF(WEEKDAY(EDATE(H1789,$D$1796),3)&lt;5,EDATE(H1789,$D$1796),WORKDAY(EDATE(H1789,$D$1796),1)),IF(WEEKDAY(EDATE($H$1784,$D$1796*COUNT($H$1784:H1789)),3)&lt;5,EDATE($H$1784,$D$1796*COUNT($H$1784:H1789)),WORKDAY(EDATE($H$1784,$D$1796*COUNT($H$1784:H1789)),1)))</f>
        <v>44074</v>
      </c>
      <c r="I1790" s="71" t="s">
        <v>13</v>
      </c>
      <c r="J1790" s="52">
        <v>274316.69270833331</v>
      </c>
      <c r="K1790" s="52">
        <f t="shared" si="170"/>
        <v>555500</v>
      </c>
      <c r="L1790" s="53">
        <f t="shared" si="171"/>
        <v>1667000</v>
      </c>
      <c r="M1790" s="94">
        <f t="shared" si="172"/>
        <v>829816.69270833326</v>
      </c>
      <c r="N1790" s="25"/>
      <c r="O1790" s="197">
        <f t="shared" si="173"/>
        <v>2874601.786458333</v>
      </c>
      <c r="P1790" s="197">
        <f t="shared" si="174"/>
        <v>0.22446917499999999</v>
      </c>
      <c r="Q1790" s="197">
        <f t="shared" si="175"/>
        <v>0.56271039760273966</v>
      </c>
    </row>
    <row r="1791" spans="1:17" ht="15.95" customHeight="1" x14ac:dyDescent="0.25">
      <c r="A1791" s="121"/>
      <c r="B1791" s="23"/>
      <c r="C1791" s="59" t="s">
        <v>9</v>
      </c>
      <c r="D1791" s="98" t="s">
        <v>18</v>
      </c>
      <c r="E1791" s="36"/>
      <c r="F1791" s="483"/>
      <c r="G1791" s="484"/>
      <c r="H1791" s="51">
        <f>IF(DAY(H1790)=DAY($H$1784),IF(WEEKDAY(EDATE(H1790,$D$1796),3)&lt;5,EDATE(H1790,$D$1796),WORKDAY(EDATE(H1790,$D$1796),1)),IF(WEEKDAY(EDATE($H$1784,$D$1796*COUNT($H$1784:H1790)),3)&lt;5,EDATE($H$1784,$D$1796*COUNT($H$1784:H1790)),WORKDAY(EDATE($H$1784,$D$1796*COUNT($H$1784:H1790)),1)))</f>
        <v>44195</v>
      </c>
      <c r="I1791" s="71" t="s">
        <v>13</v>
      </c>
      <c r="J1791" s="52">
        <v>202407.37152777772</v>
      </c>
      <c r="K1791" s="52">
        <f t="shared" si="170"/>
        <v>555500</v>
      </c>
      <c r="L1791" s="53">
        <f t="shared" si="171"/>
        <v>1111500</v>
      </c>
      <c r="M1791" s="94">
        <f t="shared" si="172"/>
        <v>757907.37152777775</v>
      </c>
      <c r="N1791" s="25"/>
      <c r="O1791" s="197">
        <f t="shared" si="173"/>
        <v>3852865.1718749995</v>
      </c>
      <c r="P1791" s="197">
        <f t="shared" si="174"/>
        <v>0.19565267708333334</v>
      </c>
      <c r="Q1791" s="197">
        <f t="shared" si="175"/>
        <v>0.58749406598173515</v>
      </c>
    </row>
    <row r="1792" spans="1:17" ht="15.95" customHeight="1" x14ac:dyDescent="0.25">
      <c r="A1792" s="121"/>
      <c r="B1792" s="23"/>
      <c r="C1792" s="59" t="s">
        <v>10</v>
      </c>
      <c r="D1792" s="65">
        <v>43339</v>
      </c>
      <c r="E1792" s="36"/>
      <c r="F1792" s="483"/>
      <c r="G1792" s="484"/>
      <c r="H1792" s="51">
        <f>IF(DAY(H1791)=DAY($H$1784),IF(WEEKDAY(EDATE(H1791,$D$1796),3)&lt;5,EDATE(H1791,$D$1796),WORKDAY(EDATE(H1791,$D$1796),1)),IF(WEEKDAY(EDATE($H$1784,$D$1796*COUNT($H$1784:H1791)),3)&lt;5,EDATE($H$1784,$D$1796*COUNT($H$1784:H1791)),WORKDAY(EDATE($H$1784,$D$1796*COUNT($H$1784:H1791)),1)))</f>
        <v>44316</v>
      </c>
      <c r="I1792" s="71" t="s">
        <v>13</v>
      </c>
      <c r="J1792" s="52">
        <v>134958.48437499997</v>
      </c>
      <c r="K1792" s="52">
        <f t="shared" si="170"/>
        <v>555500</v>
      </c>
      <c r="L1792" s="53">
        <f t="shared" si="171"/>
        <v>556000</v>
      </c>
      <c r="M1792" s="94">
        <f t="shared" si="172"/>
        <v>690458.484375</v>
      </c>
      <c r="N1792" s="25"/>
      <c r="O1792" s="197"/>
      <c r="P1792" s="29"/>
    </row>
    <row r="1793" spans="1:16" ht="15.95" customHeight="1" x14ac:dyDescent="0.25">
      <c r="A1793" s="121"/>
      <c r="B1793" s="23"/>
      <c r="C1793" s="59" t="s">
        <v>11</v>
      </c>
      <c r="D1793" s="65">
        <v>43342</v>
      </c>
      <c r="E1793" s="36"/>
      <c r="F1793" s="483"/>
      <c r="G1793" s="484"/>
      <c r="H1793" s="51">
        <f>IF(DAY(H1792)=DAY($H$1784),IF(WEEKDAY(EDATE(H1792,$D$1796),3)&lt;5,EDATE(H1792,$D$1796),WORKDAY(EDATE(H1792,$D$1796),1)),IF(WEEKDAY(EDATE($H$1784,$D$1796*COUNT($H$1784:H1792)),3)&lt;5,EDATE($H$1784,$D$1796*COUNT($H$1784:H1792)),WORKDAY(EDATE($H$1784,$D$1796*COUNT($H$1784:H1792)),1)))</f>
        <v>44438</v>
      </c>
      <c r="I1793" s="71" t="s">
        <v>13</v>
      </c>
      <c r="J1793" s="52">
        <v>68067.527777777766</v>
      </c>
      <c r="K1793" s="52">
        <f>+IF(OR(I1793="A + C",I1793="A"),$D$1795*$D$1802,0)</f>
        <v>556000</v>
      </c>
      <c r="L1793" s="53">
        <f t="shared" si="171"/>
        <v>0</v>
      </c>
      <c r="M1793" s="94">
        <f t="shared" si="172"/>
        <v>624067.52777777775</v>
      </c>
      <c r="N1793" s="25"/>
      <c r="O1793" s="197"/>
      <c r="P1793" s="29"/>
    </row>
    <row r="1794" spans="1:16" ht="15.95" customHeight="1" x14ac:dyDescent="0.25">
      <c r="A1794" s="121"/>
      <c r="B1794" s="23"/>
      <c r="C1794" s="59" t="s">
        <v>12</v>
      </c>
      <c r="D1794" s="65">
        <v>44438</v>
      </c>
      <c r="E1794" s="36"/>
      <c r="F1794" s="483"/>
      <c r="G1794" s="484"/>
      <c r="H1794" s="54"/>
      <c r="I1794" s="104"/>
      <c r="J1794" s="105"/>
      <c r="K1794" s="105"/>
      <c r="L1794" s="106"/>
      <c r="M1794" s="109"/>
      <c r="N1794" s="25"/>
      <c r="O1794" s="197"/>
      <c r="P1794" s="29"/>
    </row>
    <row r="1795" spans="1:16" ht="15.95" customHeight="1" x14ac:dyDescent="0.25">
      <c r="A1795" s="121"/>
      <c r="B1795" s="23"/>
      <c r="C1795" s="59" t="s">
        <v>27</v>
      </c>
      <c r="D1795" s="66">
        <v>5000000</v>
      </c>
      <c r="E1795" s="41"/>
      <c r="F1795" s="480"/>
      <c r="G1795" s="484"/>
      <c r="H1795" s="109"/>
      <c r="I1795" s="109"/>
      <c r="J1795" s="109"/>
      <c r="K1795" s="109"/>
      <c r="L1795" s="109"/>
      <c r="M1795" s="109"/>
      <c r="N1795" s="25"/>
      <c r="O1795" s="197"/>
    </row>
    <row r="1796" spans="1:16" ht="15.95" customHeight="1" x14ac:dyDescent="0.25">
      <c r="A1796" s="121"/>
      <c r="B1796" s="23"/>
      <c r="C1796" s="59" t="s">
        <v>26</v>
      </c>
      <c r="D1796" s="66">
        <v>4</v>
      </c>
      <c r="E1796" s="36"/>
      <c r="F1796" s="480"/>
      <c r="G1796" s="484"/>
      <c r="H1796" s="656" t="s">
        <v>43</v>
      </c>
      <c r="I1796" s="656"/>
      <c r="J1796" s="92">
        <v>0</v>
      </c>
      <c r="K1796" s="92"/>
      <c r="L1796" s="24"/>
      <c r="M1796" s="24"/>
      <c r="N1796" s="25"/>
      <c r="O1796" s="197"/>
      <c r="P1796" s="37"/>
    </row>
    <row r="1797" spans="1:16" ht="15.95" customHeight="1" x14ac:dyDescent="0.25">
      <c r="A1797" s="121"/>
      <c r="B1797" s="23"/>
      <c r="C1797" s="59" t="s">
        <v>19</v>
      </c>
      <c r="D1797" s="67" t="s">
        <v>20</v>
      </c>
      <c r="E1797" s="43"/>
      <c r="F1797" s="480"/>
      <c r="G1797" s="484"/>
      <c r="H1797" s="657"/>
      <c r="I1797" s="657"/>
      <c r="J1797" s="392"/>
      <c r="K1797" s="24"/>
      <c r="L1797" s="33"/>
      <c r="M1797" s="33"/>
      <c r="N1797" s="25"/>
      <c r="O1797" s="197"/>
    </row>
    <row r="1798" spans="1:16" ht="15.95" customHeight="1" x14ac:dyDescent="0.25">
      <c r="A1798" s="121"/>
      <c r="B1798" s="23"/>
      <c r="C1798" s="59" t="s">
        <v>14</v>
      </c>
      <c r="D1798" s="68">
        <v>0.1</v>
      </c>
      <c r="E1798" s="43"/>
      <c r="F1798" s="480"/>
      <c r="G1798" s="484"/>
      <c r="H1798" s="24"/>
      <c r="I1798" s="24"/>
      <c r="J1798" s="24"/>
      <c r="K1798" s="24"/>
      <c r="L1798" s="24"/>
      <c r="M1798" s="24"/>
      <c r="N1798" s="25"/>
      <c r="O1798" s="195"/>
    </row>
    <row r="1799" spans="1:16" ht="15.95" customHeight="1" x14ac:dyDescent="0.25">
      <c r="A1799" s="121"/>
      <c r="B1799" s="23"/>
      <c r="C1799" s="59" t="s">
        <v>31</v>
      </c>
      <c r="D1799" s="68"/>
      <c r="E1799" s="43"/>
      <c r="F1799" s="480"/>
      <c r="G1799" s="484"/>
      <c r="H1799" s="638" t="s">
        <v>44</v>
      </c>
      <c r="I1799" s="639"/>
      <c r="J1799" s="639"/>
      <c r="K1799" s="639"/>
      <c r="L1799" s="639"/>
      <c r="M1799" s="640"/>
      <c r="N1799" s="25"/>
      <c r="O1799" s="195"/>
    </row>
    <row r="1800" spans="1:16" ht="15.95" customHeight="1" x14ac:dyDescent="0.25">
      <c r="A1800" s="121"/>
      <c r="B1800" s="23"/>
      <c r="C1800" s="59" t="s">
        <v>32</v>
      </c>
      <c r="D1800" s="68"/>
      <c r="E1800" s="44"/>
      <c r="F1800" s="480"/>
      <c r="G1800" s="484"/>
      <c r="H1800" s="23"/>
      <c r="I1800" s="24"/>
      <c r="J1800" s="24"/>
      <c r="K1800" s="24"/>
      <c r="L1800" s="24"/>
      <c r="M1800" s="25"/>
      <c r="N1800" s="25"/>
      <c r="O1800" s="195"/>
    </row>
    <row r="1801" spans="1:16" ht="15.95" customHeight="1" x14ac:dyDescent="0.25">
      <c r="A1801" s="121"/>
      <c r="B1801" s="23"/>
      <c r="C1801" s="59" t="s">
        <v>78</v>
      </c>
      <c r="D1801" s="68">
        <v>0.1111</v>
      </c>
      <c r="E1801" s="24"/>
      <c r="F1801" s="480"/>
      <c r="G1801" s="484"/>
      <c r="H1801" s="23"/>
      <c r="I1801" s="24"/>
      <c r="J1801" s="24"/>
      <c r="K1801" s="24"/>
      <c r="L1801" s="24"/>
      <c r="M1801" s="25"/>
      <c r="N1801" s="25"/>
      <c r="O1801" s="195"/>
    </row>
    <row r="1802" spans="1:16" ht="15.95" customHeight="1" x14ac:dyDescent="0.25">
      <c r="A1802" s="121"/>
      <c r="B1802" s="23"/>
      <c r="C1802" s="59" t="s">
        <v>55</v>
      </c>
      <c r="D1802" s="68">
        <v>0.11119999999999999</v>
      </c>
      <c r="E1802" s="24"/>
      <c r="F1802" s="480"/>
      <c r="G1802" s="484"/>
      <c r="H1802" s="96"/>
      <c r="I1802" s="35"/>
      <c r="J1802" s="24"/>
      <c r="K1802" s="24"/>
      <c r="L1802" s="24"/>
      <c r="M1802" s="25"/>
      <c r="N1802" s="25"/>
      <c r="O1802" s="195"/>
    </row>
    <row r="1803" spans="1:16" ht="15.95" customHeight="1" x14ac:dyDescent="0.25">
      <c r="A1803" s="121"/>
      <c r="B1803" s="23"/>
      <c r="C1803" s="60"/>
      <c r="D1803" s="110"/>
      <c r="E1803" s="24"/>
      <c r="F1803" s="480"/>
      <c r="G1803" s="484"/>
      <c r="H1803" s="23"/>
      <c r="I1803" s="24"/>
      <c r="J1803" s="24"/>
      <c r="K1803" s="24"/>
      <c r="L1803" s="24"/>
      <c r="M1803" s="25"/>
      <c r="N1803" s="25"/>
      <c r="O1803" s="195"/>
    </row>
    <row r="1804" spans="1:16" ht="15.95" customHeight="1" x14ac:dyDescent="0.25">
      <c r="A1804" s="121"/>
      <c r="B1804" s="23"/>
      <c r="C1804" s="24"/>
      <c r="D1804" s="24"/>
      <c r="E1804" s="24"/>
      <c r="F1804" s="480"/>
      <c r="G1804" s="485"/>
      <c r="H1804" s="23"/>
      <c r="I1804" s="24"/>
      <c r="J1804" s="24"/>
      <c r="K1804" s="24"/>
      <c r="L1804" s="24"/>
      <c r="M1804" s="25"/>
      <c r="N1804" s="25"/>
      <c r="O1804" s="195"/>
    </row>
    <row r="1805" spans="1:16" ht="15.95" customHeight="1" x14ac:dyDescent="0.25">
      <c r="A1805" s="121"/>
      <c r="B1805" s="23"/>
      <c r="C1805" s="24"/>
      <c r="D1805" s="24"/>
      <c r="E1805" s="24"/>
      <c r="F1805" s="480"/>
      <c r="G1805" s="485"/>
      <c r="H1805" s="23"/>
      <c r="I1805" s="24"/>
      <c r="J1805" s="24"/>
      <c r="K1805" s="24"/>
      <c r="L1805" s="24"/>
      <c r="M1805" s="25"/>
      <c r="N1805" s="25"/>
      <c r="O1805" s="195"/>
    </row>
    <row r="1806" spans="1:16" ht="15.95" customHeight="1" x14ac:dyDescent="0.25">
      <c r="A1806" s="121"/>
      <c r="B1806" s="23"/>
      <c r="C1806" s="24"/>
      <c r="D1806" s="24"/>
      <c r="E1806" s="24"/>
      <c r="F1806" s="480"/>
      <c r="G1806" s="485"/>
      <c r="H1806" s="23"/>
      <c r="I1806" s="24"/>
      <c r="J1806" s="24"/>
      <c r="K1806" s="24"/>
      <c r="L1806" s="24"/>
      <c r="M1806" s="25"/>
      <c r="N1806" s="25"/>
      <c r="O1806" s="195"/>
    </row>
    <row r="1807" spans="1:16" ht="15.95" customHeight="1" x14ac:dyDescent="0.25">
      <c r="A1807" s="121"/>
      <c r="B1807" s="23"/>
      <c r="C1807" s="24"/>
      <c r="D1807" s="24"/>
      <c r="E1807" s="24"/>
      <c r="F1807" s="480"/>
      <c r="G1807" s="485"/>
      <c r="H1807" s="23"/>
      <c r="I1807" s="24"/>
      <c r="J1807" s="24"/>
      <c r="K1807" s="24"/>
      <c r="L1807" s="24"/>
      <c r="M1807" s="25"/>
      <c r="N1807" s="25"/>
      <c r="O1807" s="195"/>
    </row>
    <row r="1808" spans="1:16" ht="15.95" customHeight="1" x14ac:dyDescent="0.25">
      <c r="A1808" s="121"/>
      <c r="B1808" s="23"/>
      <c r="C1808" s="24"/>
      <c r="D1808" s="24"/>
      <c r="E1808" s="24"/>
      <c r="F1808" s="480"/>
      <c r="G1808" s="485"/>
      <c r="H1808" s="23"/>
      <c r="I1808" s="24"/>
      <c r="J1808" s="24"/>
      <c r="K1808" s="24"/>
      <c r="L1808" s="24"/>
      <c r="M1808" s="25"/>
      <c r="N1808" s="25"/>
      <c r="O1808" s="195"/>
    </row>
    <row r="1809" spans="1:17" ht="15.95" customHeight="1" x14ac:dyDescent="0.25">
      <c r="A1809" s="121"/>
      <c r="B1809" s="23"/>
      <c r="C1809" s="24"/>
      <c r="D1809" s="24"/>
      <c r="E1809" s="24"/>
      <c r="F1809" s="480"/>
      <c r="G1809" s="485"/>
      <c r="H1809" s="23"/>
      <c r="I1809" s="24"/>
      <c r="J1809" s="24"/>
      <c r="K1809" s="24"/>
      <c r="L1809" s="24"/>
      <c r="M1809" s="25"/>
      <c r="N1809" s="25"/>
      <c r="O1809" s="195"/>
    </row>
    <row r="1810" spans="1:17" ht="15.95" customHeight="1" x14ac:dyDescent="0.25">
      <c r="A1810" s="121"/>
      <c r="B1810" s="23"/>
      <c r="C1810" s="24"/>
      <c r="D1810" s="24"/>
      <c r="E1810" s="24"/>
      <c r="F1810" s="480"/>
      <c r="G1810" s="485"/>
      <c r="H1810" s="23"/>
      <c r="I1810" s="24"/>
      <c r="J1810" s="24"/>
      <c r="K1810" s="24"/>
      <c r="L1810" s="24"/>
      <c r="M1810" s="25"/>
      <c r="N1810" s="25"/>
      <c r="O1810" s="195"/>
    </row>
    <row r="1811" spans="1:17" ht="15.95" customHeight="1" x14ac:dyDescent="0.25">
      <c r="A1811" s="121"/>
      <c r="B1811" s="23"/>
      <c r="C1811" s="24"/>
      <c r="D1811" s="24"/>
      <c r="E1811" s="24"/>
      <c r="F1811" s="480"/>
      <c r="G1811" s="485"/>
      <c r="H1811" s="23"/>
      <c r="I1811" s="24"/>
      <c r="J1811" s="24"/>
      <c r="K1811" s="24"/>
      <c r="L1811" s="24"/>
      <c r="M1811" s="25"/>
      <c r="N1811" s="25"/>
      <c r="O1811" s="195"/>
    </row>
    <row r="1812" spans="1:17" ht="15.95" customHeight="1" x14ac:dyDescent="0.25">
      <c r="A1812" s="121"/>
      <c r="B1812" s="23"/>
      <c r="C1812" s="24"/>
      <c r="D1812" s="24"/>
      <c r="E1812" s="24"/>
      <c r="F1812" s="480"/>
      <c r="G1812" s="485"/>
      <c r="H1812" s="26"/>
      <c r="I1812" s="27"/>
      <c r="J1812" s="27"/>
      <c r="K1812" s="27"/>
      <c r="L1812" s="27"/>
      <c r="M1812" s="28"/>
      <c r="N1812" s="25"/>
      <c r="O1812" s="195"/>
    </row>
    <row r="1813" spans="1:17" ht="15.95" customHeight="1" x14ac:dyDescent="0.25">
      <c r="A1813" s="121"/>
      <c r="B1813" s="23"/>
      <c r="C1813" s="24"/>
      <c r="D1813" s="24"/>
      <c r="E1813" s="24"/>
      <c r="F1813" s="480"/>
      <c r="G1813" s="480"/>
      <c r="H1813" s="24"/>
      <c r="I1813" s="24"/>
      <c r="J1813" s="24"/>
      <c r="K1813" s="24"/>
      <c r="L1813" s="24"/>
      <c r="M1813" s="24"/>
      <c r="N1813" s="25"/>
      <c r="O1813" s="195"/>
    </row>
    <row r="1814" spans="1:17" ht="15.95" customHeight="1" x14ac:dyDescent="0.25">
      <c r="A1814" s="121"/>
      <c r="B1814" s="661" t="s">
        <v>379</v>
      </c>
      <c r="C1814" s="662"/>
      <c r="D1814" s="662"/>
      <c r="E1814" s="662"/>
      <c r="F1814" s="662"/>
      <c r="G1814" s="662"/>
      <c r="H1814" s="662"/>
      <c r="I1814" s="662"/>
      <c r="J1814" s="662"/>
      <c r="K1814" s="662"/>
      <c r="L1814" s="662"/>
      <c r="M1814" s="662"/>
      <c r="N1814" s="663"/>
      <c r="O1814" s="195"/>
    </row>
    <row r="1815" spans="1:17" ht="15.95" customHeight="1" x14ac:dyDescent="0.25">
      <c r="A1815" s="121"/>
      <c r="B1815" s="23"/>
      <c r="C1815" s="24"/>
      <c r="D1815" s="24"/>
      <c r="E1815" s="24"/>
      <c r="F1815" s="483"/>
      <c r="G1815" s="484"/>
      <c r="H1815" s="31"/>
      <c r="I1815" s="31"/>
      <c r="J1815" s="24"/>
      <c r="K1815" s="24"/>
      <c r="L1815" s="24"/>
      <c r="M1815" s="24"/>
      <c r="N1815" s="25"/>
      <c r="O1815" s="194" t="str">
        <f>+D1967</f>
        <v>ON Pyme CNV Garantizada</v>
      </c>
    </row>
    <row r="1816" spans="1:17" ht="15.95" customHeight="1" x14ac:dyDescent="0.25">
      <c r="A1816" s="121"/>
      <c r="B1816" s="23"/>
      <c r="C1816" s="638" t="s">
        <v>37</v>
      </c>
      <c r="D1816" s="639"/>
      <c r="E1816" s="640"/>
      <c r="F1816" s="483"/>
      <c r="G1816" s="484"/>
      <c r="H1816" s="641" t="s">
        <v>28</v>
      </c>
      <c r="I1816" s="642"/>
      <c r="J1816" s="39">
        <f>D1835-SUMIF(H1823:H1832,"&lt;"&amp;$M$4,K1823:K1832)</f>
        <v>1.2010335922241211E-5</v>
      </c>
      <c r="K1816" s="24"/>
      <c r="L1816" s="24"/>
      <c r="M1816" s="24"/>
      <c r="N1816" s="25"/>
      <c r="O1816" s="195"/>
    </row>
    <row r="1817" spans="1:17" ht="15.95" customHeight="1" x14ac:dyDescent="0.25">
      <c r="A1817" s="121"/>
      <c r="B1817" s="23"/>
      <c r="C1817" s="58"/>
      <c r="D1817" s="664"/>
      <c r="E1817" s="665"/>
      <c r="F1817" s="483"/>
      <c r="G1817" s="484"/>
      <c r="H1817" s="645" t="s">
        <v>29</v>
      </c>
      <c r="I1817" s="646"/>
      <c r="J1817" s="40">
        <f>D1834</f>
        <v>45522</v>
      </c>
      <c r="K1817" s="24"/>
      <c r="L1817" s="24"/>
      <c r="M1817" s="24"/>
      <c r="N1817" s="25"/>
      <c r="O1817" s="194" t="str">
        <f>+IF(J1965="vencida",IF(D1967='Reporte - Oscuro'!$C$40,'Reporte - Oscuro'!$C$40&amp;" vencida",IF(D1967='Reporte - Oscuro'!$C$41,'Reporte - Oscuro'!$C$41&amp;" vencida",IF(D1967='Reporte - Oscuro'!$C$42,'Reporte - Oscuro'!$C$42&amp;" vencida",'Reporte - Oscuro'!$C$43&amp;" vencida"))),D1967&amp;" vigente")</f>
        <v>ON Pyme CNV Garantizada vencida</v>
      </c>
    </row>
    <row r="1818" spans="1:17" ht="15.95" customHeight="1" x14ac:dyDescent="0.25">
      <c r="A1818" s="121"/>
      <c r="B1818" s="23"/>
      <c r="C1818" s="59" t="s">
        <v>25</v>
      </c>
      <c r="D1818" s="658"/>
      <c r="E1818" s="659"/>
      <c r="F1818" s="483"/>
      <c r="G1818" s="484"/>
      <c r="H1818" s="649" t="s">
        <v>30</v>
      </c>
      <c r="I1818" s="650"/>
      <c r="J1818" s="42" t="s">
        <v>523</v>
      </c>
      <c r="L1818" s="24"/>
      <c r="M1818" s="24"/>
      <c r="N1818" s="25"/>
      <c r="O1818" s="195"/>
    </row>
    <row r="1819" spans="1:17" ht="15.95" customHeight="1" x14ac:dyDescent="0.25">
      <c r="A1819" s="121"/>
      <c r="B1819" s="23"/>
      <c r="C1819" s="59" t="s">
        <v>6</v>
      </c>
      <c r="D1819" s="658" t="s">
        <v>382</v>
      </c>
      <c r="E1819" s="659"/>
      <c r="F1819" s="483"/>
      <c r="G1819" s="484"/>
      <c r="H1819" s="24"/>
      <c r="I1819" s="24"/>
      <c r="J1819" s="24"/>
      <c r="K1819" s="24"/>
      <c r="L1819" s="24"/>
      <c r="M1819" s="24"/>
      <c r="N1819" s="25"/>
      <c r="O1819" s="195"/>
    </row>
    <row r="1820" spans="1:17" ht="20.100000000000001" customHeight="1" x14ac:dyDescent="0.25">
      <c r="A1820" s="121"/>
      <c r="B1820" s="23"/>
      <c r="C1820" s="59" t="s">
        <v>8</v>
      </c>
      <c r="D1820" s="658" t="s">
        <v>17</v>
      </c>
      <c r="E1820" s="659"/>
      <c r="F1820" s="483"/>
      <c r="G1820" s="484"/>
      <c r="H1820" s="651" t="s">
        <v>41</v>
      </c>
      <c r="I1820" s="652"/>
      <c r="J1820" s="652"/>
      <c r="K1820" s="652"/>
      <c r="L1820" s="653"/>
      <c r="M1820" s="24"/>
      <c r="N1820" s="25"/>
      <c r="O1820" s="197">
        <f>+M1970</f>
        <v>-8000000</v>
      </c>
      <c r="P1820" s="197">
        <f>-M1970</f>
        <v>8000000</v>
      </c>
      <c r="Q1820" s="197"/>
    </row>
    <row r="1821" spans="1:17" ht="15.95" customHeight="1" x14ac:dyDescent="0.25">
      <c r="A1821" s="121"/>
      <c r="B1821" s="23"/>
      <c r="C1821" s="59" t="s">
        <v>33</v>
      </c>
      <c r="D1821" s="73" t="s">
        <v>380</v>
      </c>
      <c r="E1821" s="273">
        <v>0.58330000000000004</v>
      </c>
      <c r="F1821" s="483">
        <f>+E1821*J1816</f>
        <v>7.0056289434432989E-6</v>
      </c>
      <c r="G1821" s="484"/>
      <c r="H1821" s="81" t="s">
        <v>0</v>
      </c>
      <c r="I1821" s="82" t="s">
        <v>2</v>
      </c>
      <c r="J1821" s="82" t="s">
        <v>3</v>
      </c>
      <c r="K1821" s="82" t="s">
        <v>4</v>
      </c>
      <c r="L1821" s="83" t="s">
        <v>5</v>
      </c>
      <c r="M1821" s="83" t="s">
        <v>44</v>
      </c>
      <c r="N1821" s="25"/>
      <c r="O1821" s="197">
        <f t="shared" ref="O1821:O1832" si="176">+M1971+O1820</f>
        <v>-6853833.333333334</v>
      </c>
      <c r="P1821" s="197">
        <f t="shared" ref="P1821:P1832" si="177">+(M1971/(1+$J$1986)^((H1971-$H$1970)/365))/$P$1820</f>
        <v>0.14327083333333332</v>
      </c>
      <c r="Q1821" s="197">
        <f t="shared" ref="Q1821:Q1832" si="178">+P1821*((H1971-$H$1970)/365)</f>
        <v>3.6112100456621006E-2</v>
      </c>
    </row>
    <row r="1822" spans="1:17" ht="15.95" customHeight="1" x14ac:dyDescent="0.25">
      <c r="A1822" s="121"/>
      <c r="B1822" s="23"/>
      <c r="C1822" s="278" t="s">
        <v>33</v>
      </c>
      <c r="D1822" s="73" t="s">
        <v>309</v>
      </c>
      <c r="E1822" s="273">
        <v>0.41670000000000001</v>
      </c>
      <c r="F1822" s="483">
        <f>+E1822*J1816</f>
        <v>5.0047069787979129E-6</v>
      </c>
      <c r="G1822" s="484"/>
      <c r="H1822" s="45"/>
      <c r="I1822" s="46"/>
      <c r="J1822" s="46"/>
      <c r="K1822" s="46"/>
      <c r="L1822" s="47"/>
      <c r="M1822" s="101"/>
      <c r="N1822" s="25"/>
      <c r="O1822" s="197">
        <f t="shared" si="176"/>
        <v>-5026333.333333334</v>
      </c>
      <c r="P1822" s="197">
        <f t="shared" si="177"/>
        <v>0.22843749999999999</v>
      </c>
      <c r="Q1822" s="197">
        <f t="shared" si="178"/>
        <v>0.11390582191780821</v>
      </c>
    </row>
    <row r="1823" spans="1:17" ht="15.95" customHeight="1" x14ac:dyDescent="0.25">
      <c r="A1823" s="121"/>
      <c r="B1823" s="23"/>
      <c r="C1823" s="59" t="s">
        <v>34</v>
      </c>
      <c r="D1823" s="658" t="s">
        <v>48</v>
      </c>
      <c r="E1823" s="659"/>
      <c r="F1823" s="483"/>
      <c r="G1823" s="484"/>
      <c r="H1823" s="48">
        <f>D1833</f>
        <v>44791</v>
      </c>
      <c r="I1823" s="46"/>
      <c r="J1823" s="49"/>
      <c r="K1823" s="49"/>
      <c r="L1823" s="50">
        <f>+D1835</f>
        <v>120000000</v>
      </c>
      <c r="M1823" s="102">
        <f>-L1823</f>
        <v>-120000000</v>
      </c>
      <c r="N1823" s="25"/>
      <c r="O1823" s="197">
        <f t="shared" si="176"/>
        <v>-3267757.9166666674</v>
      </c>
      <c r="P1823" s="197">
        <f t="shared" si="177"/>
        <v>0.21982192708333331</v>
      </c>
      <c r="Q1823" s="197">
        <f t="shared" si="178"/>
        <v>0.16441475642123288</v>
      </c>
    </row>
    <row r="1824" spans="1:17" ht="15.95" customHeight="1" x14ac:dyDescent="0.25">
      <c r="A1824" s="121"/>
      <c r="B1824" s="23"/>
      <c r="C1824" s="79" t="s">
        <v>38</v>
      </c>
      <c r="D1824" s="75"/>
      <c r="E1824" s="76"/>
      <c r="F1824" s="483"/>
      <c r="G1824" s="484"/>
      <c r="H1824" s="51">
        <v>44883</v>
      </c>
      <c r="I1824" s="415" t="s">
        <v>7</v>
      </c>
      <c r="J1824" s="52">
        <f t="shared" ref="J1824:J1831" si="179">L1823*($P$4+D1838)*(H1824-H1823)/365</f>
        <v>9735616.4383561648</v>
      </c>
      <c r="K1824" s="52">
        <f>+IF(OR(I1824="A + C",I1824="A"),$D$2275*$D$2281,0)</f>
        <v>0</v>
      </c>
      <c r="L1824" s="53">
        <f>+L1823-K1824</f>
        <v>120000000</v>
      </c>
      <c r="M1824" s="103">
        <f>+J1824+K1824</f>
        <v>9735616.4383561648</v>
      </c>
      <c r="N1824" s="25"/>
      <c r="O1824" s="197">
        <f t="shared" si="176"/>
        <v>-1535604.5833333342</v>
      </c>
      <c r="P1824" s="197">
        <f t="shared" si="177"/>
        <v>0.21651916666666665</v>
      </c>
      <c r="Q1824" s="197">
        <f t="shared" si="178"/>
        <v>0.21651916666666665</v>
      </c>
    </row>
    <row r="1825" spans="1:17" ht="15.95" customHeight="1" x14ac:dyDescent="0.25">
      <c r="A1825" s="121"/>
      <c r="B1825" s="23"/>
      <c r="C1825" s="59"/>
      <c r="D1825" s="399"/>
      <c r="E1825" s="271"/>
      <c r="F1825" s="483"/>
      <c r="G1825" s="484"/>
      <c r="H1825" s="51">
        <v>44975</v>
      </c>
      <c r="I1825" s="415" t="s">
        <v>7</v>
      </c>
      <c r="J1825" s="52">
        <f t="shared" si="179"/>
        <v>9735616.4383561648</v>
      </c>
      <c r="K1825" s="52">
        <f>+IF(OR(I1825="A + C",I1825="A"),$D$2275*$D$2281,0)</f>
        <v>0</v>
      </c>
      <c r="L1825" s="53">
        <f>+L1824-K1825</f>
        <v>120000000</v>
      </c>
      <c r="M1825" s="103">
        <f>+J1825+K1825</f>
        <v>9735616.4383561648</v>
      </c>
      <c r="N1825" s="25"/>
      <c r="O1825" s="197">
        <f t="shared" si="176"/>
        <v>28326.111111110309</v>
      </c>
      <c r="P1825" s="197">
        <f t="shared" si="177"/>
        <v>0.19549133680555555</v>
      </c>
      <c r="Q1825" s="197">
        <f t="shared" si="178"/>
        <v>0.24583705094178082</v>
      </c>
    </row>
    <row r="1826" spans="1:17" ht="15.95" customHeight="1" x14ac:dyDescent="0.25">
      <c r="A1826" s="121"/>
      <c r="B1826" s="23"/>
      <c r="C1826" s="59"/>
      <c r="D1826" s="399"/>
      <c r="E1826" s="271"/>
      <c r="F1826" s="483"/>
      <c r="G1826" s="484"/>
      <c r="H1826" s="51">
        <v>45064</v>
      </c>
      <c r="I1826" s="415" t="s">
        <v>7</v>
      </c>
      <c r="J1826" s="52">
        <f t="shared" si="179"/>
        <v>9418150.6849315073</v>
      </c>
      <c r="K1826" s="52">
        <f>+IF(OR(I1826="A + C",I1826="A"),$D$2275*$D$2281,0)</f>
        <v>0</v>
      </c>
      <c r="L1826" s="53">
        <f>+L1825-K1826</f>
        <v>120000000</v>
      </c>
      <c r="M1826" s="103">
        <f>+J1826+K1826</f>
        <v>9418150.6849315073</v>
      </c>
      <c r="N1826" s="25"/>
      <c r="O1826" s="197">
        <f t="shared" si="176"/>
        <v>1266823.8888888881</v>
      </c>
      <c r="P1826" s="197">
        <f t="shared" si="177"/>
        <v>0.15481222222222221</v>
      </c>
      <c r="Q1826" s="197">
        <f t="shared" si="178"/>
        <v>0.2332786910197869</v>
      </c>
    </row>
    <row r="1827" spans="1:17" ht="15.95" customHeight="1" x14ac:dyDescent="0.25">
      <c r="A1827" s="121"/>
      <c r="B1827" s="32"/>
      <c r="C1827" s="60"/>
      <c r="D1827" s="400" t="str">
        <f>+B1814</f>
        <v>Piscinas Premiun I</v>
      </c>
      <c r="E1827" s="401"/>
      <c r="F1827" s="483"/>
      <c r="G1827" s="484">
        <f>+J1816</f>
        <v>1.2010335922241211E-5</v>
      </c>
      <c r="H1827" s="51">
        <v>45156</v>
      </c>
      <c r="I1827" s="415" t="s">
        <v>13</v>
      </c>
      <c r="J1827" s="52">
        <f t="shared" si="179"/>
        <v>19817808.219177075</v>
      </c>
      <c r="K1827" s="52">
        <f>L1823*D1841</f>
        <v>39999999.999995999</v>
      </c>
      <c r="L1827" s="53">
        <f>+L1826-K1827</f>
        <v>80000000.000003994</v>
      </c>
      <c r="M1827" s="103">
        <f>+J1827+K1827</f>
        <v>59817808.219173074</v>
      </c>
      <c r="N1827" s="25"/>
      <c r="O1827" s="197">
        <f t="shared" si="176"/>
        <v>2366369.7222222215</v>
      </c>
      <c r="P1827" s="197">
        <f t="shared" si="177"/>
        <v>0.13744322916666668</v>
      </c>
      <c r="Q1827" s="197">
        <f t="shared" si="178"/>
        <v>0.24137290382420093</v>
      </c>
    </row>
    <row r="1828" spans="1:17" ht="15.95" customHeight="1" x14ac:dyDescent="0.25">
      <c r="A1828" s="121"/>
      <c r="B1828" s="32"/>
      <c r="C1828" s="150"/>
      <c r="D1828" s="272"/>
      <c r="E1828" s="272"/>
      <c r="F1828" s="483"/>
      <c r="G1828" s="484"/>
      <c r="H1828" s="51">
        <v>45248</v>
      </c>
      <c r="I1828" s="415" t="s">
        <v>7</v>
      </c>
      <c r="J1828" s="52">
        <f t="shared" si="179"/>
        <v>6490410.9589044349</v>
      </c>
      <c r="K1828" s="52">
        <f>+IF(OR(I1828="A + C",I1828="A"),$D$2275*$D$2281,0)</f>
        <v>0</v>
      </c>
      <c r="L1828" s="53">
        <f t="shared" ref="L1828:L1831" si="180">+L1827-K1828</f>
        <v>80000000.000003994</v>
      </c>
      <c r="M1828" s="103">
        <f t="shared" ref="M1828:M1831" si="181">+J1828+K1828</f>
        <v>6490410.9589044349</v>
      </c>
      <c r="N1828" s="25"/>
      <c r="O1828" s="197">
        <f t="shared" si="176"/>
        <v>3403808.055555555</v>
      </c>
      <c r="P1828" s="197">
        <f t="shared" si="177"/>
        <v>0.12967979166666668</v>
      </c>
      <c r="Q1828" s="197">
        <f t="shared" si="178"/>
        <v>0.26007015753424662</v>
      </c>
    </row>
    <row r="1829" spans="1:17" ht="15.95" customHeight="1" x14ac:dyDescent="0.25">
      <c r="A1829" s="121"/>
      <c r="B1829" s="32"/>
      <c r="C1829" s="638" t="s">
        <v>36</v>
      </c>
      <c r="D1829" s="640"/>
      <c r="E1829" s="272"/>
      <c r="F1829" s="483"/>
      <c r="G1829" s="484"/>
      <c r="H1829" s="51">
        <v>45340</v>
      </c>
      <c r="I1829" s="415" t="s">
        <v>13</v>
      </c>
      <c r="J1829" s="52">
        <f t="shared" si="179"/>
        <v>6490410.9589044349</v>
      </c>
      <c r="K1829" s="52">
        <f>L1823*D1841</f>
        <v>39999999.999995999</v>
      </c>
      <c r="L1829" s="53">
        <f t="shared" si="180"/>
        <v>40000000.000007994</v>
      </c>
      <c r="M1829" s="103">
        <f t="shared" si="181"/>
        <v>46490410.958900437</v>
      </c>
      <c r="N1829" s="25"/>
      <c r="O1829" s="197">
        <f t="shared" si="176"/>
        <v>4379138.8888888881</v>
      </c>
      <c r="P1829" s="197">
        <f t="shared" si="177"/>
        <v>0.12191635416666667</v>
      </c>
      <c r="Q1829" s="197">
        <f t="shared" si="178"/>
        <v>0.27489632734018266</v>
      </c>
    </row>
    <row r="1830" spans="1:17" ht="15.95" customHeight="1" x14ac:dyDescent="0.25">
      <c r="A1830" s="121"/>
      <c r="B1830" s="32"/>
      <c r="C1830" s="59"/>
      <c r="D1830" s="62"/>
      <c r="E1830" s="272"/>
      <c r="F1830" s="483"/>
      <c r="G1830" s="484"/>
      <c r="H1830" s="51">
        <v>45430</v>
      </c>
      <c r="I1830" s="415" t="s">
        <v>7</v>
      </c>
      <c r="J1830" s="52">
        <f t="shared" si="179"/>
        <v>3174657.5342472102</v>
      </c>
      <c r="K1830" s="52">
        <f>+IF(OR(I1830="A + C",I1830="A"),$D$2275*$D$2281,0)</f>
        <v>0</v>
      </c>
      <c r="L1830" s="53">
        <f t="shared" si="180"/>
        <v>40000000.000007994</v>
      </c>
      <c r="M1830" s="103">
        <f t="shared" si="181"/>
        <v>3174657.5342472102</v>
      </c>
      <c r="N1830" s="25"/>
      <c r="O1830" s="197">
        <f t="shared" si="176"/>
        <v>5292362.2222222211</v>
      </c>
      <c r="P1830" s="197">
        <f t="shared" si="177"/>
        <v>0.11415291666666667</v>
      </c>
      <c r="Q1830" s="197">
        <f t="shared" si="178"/>
        <v>0.28585141324200919</v>
      </c>
    </row>
    <row r="1831" spans="1:17" ht="15.95" customHeight="1" x14ac:dyDescent="0.25">
      <c r="A1831" s="121"/>
      <c r="B1831" s="32"/>
      <c r="C1831" s="59" t="s">
        <v>9</v>
      </c>
      <c r="D1831" s="98" t="s">
        <v>18</v>
      </c>
      <c r="E1831" s="272"/>
      <c r="F1831" s="483"/>
      <c r="G1831" s="484"/>
      <c r="H1831" s="51">
        <v>45522</v>
      </c>
      <c r="I1831" s="415" t="s">
        <v>13</v>
      </c>
      <c r="J1831" s="52">
        <f t="shared" si="179"/>
        <v>3245205.4794527036</v>
      </c>
      <c r="K1831" s="52">
        <f>L1823*D1841</f>
        <v>39999999.999995999</v>
      </c>
      <c r="L1831" s="53">
        <f t="shared" si="180"/>
        <v>1.1995434761047363E-5</v>
      </c>
      <c r="M1831" s="103">
        <f t="shared" si="181"/>
        <v>43245205.479448706</v>
      </c>
      <c r="N1831" s="25"/>
      <c r="O1831" s="197">
        <f t="shared" si="176"/>
        <v>6143478.0555555541</v>
      </c>
      <c r="P1831" s="197">
        <f t="shared" si="177"/>
        <v>0.10638947916666668</v>
      </c>
      <c r="Q1831" s="197">
        <f t="shared" si="178"/>
        <v>0.29293541523972605</v>
      </c>
    </row>
    <row r="1832" spans="1:17" ht="15.95" customHeight="1" x14ac:dyDescent="0.25">
      <c r="A1832" s="121"/>
      <c r="B1832" s="23"/>
      <c r="C1832" s="59" t="s">
        <v>10</v>
      </c>
      <c r="D1832" s="65">
        <v>44782</v>
      </c>
      <c r="E1832" s="272"/>
      <c r="F1832" s="483"/>
      <c r="G1832" s="484"/>
      <c r="H1832" s="54"/>
      <c r="I1832" s="61"/>
      <c r="J1832" s="105"/>
      <c r="K1832" s="105"/>
      <c r="L1832" s="106"/>
      <c r="M1832" s="402"/>
      <c r="N1832" s="25"/>
      <c r="O1832" s="197">
        <f t="shared" si="176"/>
        <v>7012486.3888888871</v>
      </c>
      <c r="P1832" s="197">
        <f t="shared" si="177"/>
        <v>0.10862604166666667</v>
      </c>
      <c r="Q1832" s="197">
        <f t="shared" si="178"/>
        <v>0.32617573059360733</v>
      </c>
    </row>
    <row r="1833" spans="1:17" ht="15.95" customHeight="1" x14ac:dyDescent="0.25">
      <c r="A1833" s="121"/>
      <c r="B1833" s="23"/>
      <c r="C1833" s="59" t="s">
        <v>11</v>
      </c>
      <c r="D1833" s="65">
        <v>44791</v>
      </c>
      <c r="E1833" s="36"/>
      <c r="F1833" s="483"/>
      <c r="G1833" s="484"/>
      <c r="H1833" s="109"/>
      <c r="I1833" s="109"/>
      <c r="J1833" s="109"/>
      <c r="K1833" s="109"/>
      <c r="L1833" s="109"/>
      <c r="M1833" s="109"/>
      <c r="N1833" s="25"/>
      <c r="O1833" s="195"/>
    </row>
    <row r="1834" spans="1:17" ht="15.95" customHeight="1" x14ac:dyDescent="0.25">
      <c r="A1834" s="121"/>
      <c r="B1834" s="23"/>
      <c r="C1834" s="59" t="s">
        <v>12</v>
      </c>
      <c r="D1834" s="65">
        <v>45522</v>
      </c>
      <c r="E1834" s="36"/>
      <c r="F1834" s="483"/>
      <c r="G1834" s="484"/>
      <c r="H1834" s="656" t="s">
        <v>43</v>
      </c>
      <c r="I1834" s="656"/>
      <c r="J1834" s="92">
        <f>+J1816+(L1831*($P$4+D1838)*($M$4-H1831)/365)</f>
        <v>1.5596334171825893E-5</v>
      </c>
      <c r="K1834" s="92"/>
      <c r="L1834" s="24"/>
      <c r="M1834" s="24"/>
      <c r="N1834" s="25"/>
      <c r="O1834" s="195"/>
    </row>
    <row r="1835" spans="1:17" ht="15.95" customHeight="1" x14ac:dyDescent="0.25">
      <c r="A1835" s="121"/>
      <c r="B1835" s="23"/>
      <c r="C1835" s="59" t="s">
        <v>27</v>
      </c>
      <c r="D1835" s="66">
        <v>120000000</v>
      </c>
      <c r="E1835" s="36"/>
      <c r="F1835" s="483"/>
      <c r="G1835" s="484"/>
      <c r="H1835" s="657"/>
      <c r="I1835" s="657"/>
      <c r="J1835" s="33"/>
      <c r="K1835" s="24"/>
      <c r="L1835" s="33"/>
      <c r="M1835" s="33"/>
      <c r="N1835" s="25"/>
      <c r="O1835" s="195"/>
    </row>
    <row r="1836" spans="1:17" ht="15.95" customHeight="1" x14ac:dyDescent="0.25">
      <c r="A1836" s="121"/>
      <c r="B1836" s="23"/>
      <c r="C1836" s="59" t="s">
        <v>26</v>
      </c>
      <c r="D1836" s="66">
        <v>3</v>
      </c>
      <c r="E1836" s="36"/>
      <c r="F1836" s="483"/>
      <c r="G1836" s="484"/>
      <c r="H1836" s="24"/>
      <c r="I1836" s="24"/>
      <c r="J1836" s="24"/>
      <c r="K1836" s="24"/>
      <c r="L1836" s="24"/>
      <c r="M1836" s="24"/>
      <c r="N1836" s="25"/>
      <c r="O1836" s="195"/>
    </row>
    <row r="1837" spans="1:17" ht="15.95" customHeight="1" x14ac:dyDescent="0.25">
      <c r="A1837" s="121"/>
      <c r="B1837" s="23"/>
      <c r="C1837" s="59" t="s">
        <v>19</v>
      </c>
      <c r="D1837" s="67" t="s">
        <v>20</v>
      </c>
      <c r="E1837" s="36"/>
      <c r="F1837" s="483"/>
      <c r="G1837" s="484"/>
      <c r="H1837" s="638" t="s">
        <v>44</v>
      </c>
      <c r="I1837" s="639"/>
      <c r="J1837" s="639"/>
      <c r="K1837" s="639"/>
      <c r="L1837" s="639"/>
      <c r="M1837" s="640"/>
      <c r="N1837" s="25"/>
      <c r="O1837" s="195"/>
    </row>
    <row r="1838" spans="1:17" ht="15.95" customHeight="1" x14ac:dyDescent="0.25">
      <c r="A1838" s="121"/>
      <c r="B1838" s="23"/>
      <c r="C1838" s="59" t="s">
        <v>14</v>
      </c>
      <c r="D1838" s="68">
        <v>0</v>
      </c>
      <c r="E1838" s="36"/>
      <c r="F1838" s="480"/>
      <c r="G1838" s="484"/>
      <c r="H1838" s="23"/>
      <c r="I1838" s="24"/>
      <c r="J1838" s="24"/>
      <c r="K1838" s="24"/>
      <c r="L1838" s="24"/>
      <c r="M1838" s="25"/>
      <c r="N1838" s="25"/>
      <c r="O1838" s="195"/>
    </row>
    <row r="1839" spans="1:17" ht="15.95" customHeight="1" x14ac:dyDescent="0.25">
      <c r="A1839" s="121"/>
      <c r="B1839" s="23"/>
      <c r="C1839" s="59" t="s">
        <v>31</v>
      </c>
      <c r="D1839" s="68"/>
      <c r="E1839" s="41"/>
      <c r="F1839" s="480"/>
      <c r="G1839" s="484"/>
      <c r="H1839" s="23"/>
      <c r="I1839" s="24"/>
      <c r="J1839" s="24"/>
      <c r="K1839" s="24"/>
      <c r="L1839" s="24"/>
      <c r="M1839" s="25"/>
      <c r="N1839" s="25"/>
      <c r="O1839" s="195"/>
    </row>
    <row r="1840" spans="1:17" ht="15.95" customHeight="1" x14ac:dyDescent="0.25">
      <c r="A1840" s="121"/>
      <c r="B1840" s="23"/>
      <c r="C1840" s="59" t="s">
        <v>32</v>
      </c>
      <c r="D1840" s="68"/>
      <c r="E1840" s="36"/>
      <c r="F1840" s="480"/>
      <c r="G1840" s="484"/>
      <c r="H1840" s="96"/>
      <c r="I1840" s="35"/>
      <c r="J1840" s="24"/>
      <c r="K1840" s="24"/>
      <c r="L1840" s="24"/>
      <c r="M1840" s="25"/>
      <c r="N1840" s="25"/>
      <c r="O1840" s="195"/>
    </row>
    <row r="1841" spans="1:15" ht="15.95" customHeight="1" x14ac:dyDescent="0.25">
      <c r="A1841" s="121"/>
      <c r="B1841" s="23"/>
      <c r="C1841" s="59" t="s">
        <v>54</v>
      </c>
      <c r="D1841" s="68">
        <v>0.33333333333330001</v>
      </c>
      <c r="E1841" s="43"/>
      <c r="F1841" s="480"/>
      <c r="G1841" s="484"/>
      <c r="H1841" s="23"/>
      <c r="I1841" s="24"/>
      <c r="J1841" s="24"/>
      <c r="K1841" s="24"/>
      <c r="L1841" s="24"/>
      <c r="M1841" s="25"/>
      <c r="N1841" s="25"/>
      <c r="O1841" s="195"/>
    </row>
    <row r="1842" spans="1:15" ht="15.95" customHeight="1" x14ac:dyDescent="0.25">
      <c r="A1842" s="121"/>
      <c r="B1842" s="23"/>
      <c r="C1842" s="60"/>
      <c r="D1842" s="110"/>
      <c r="E1842" s="43"/>
      <c r="F1842" s="480"/>
      <c r="G1842" s="484"/>
      <c r="H1842" s="23"/>
      <c r="I1842" s="24"/>
      <c r="J1842" s="24"/>
      <c r="K1842" s="24"/>
      <c r="L1842" s="24"/>
      <c r="M1842" s="25"/>
      <c r="N1842" s="25"/>
      <c r="O1842" s="195"/>
    </row>
    <row r="1843" spans="1:15" ht="15.95" customHeight="1" x14ac:dyDescent="0.25">
      <c r="A1843" s="121"/>
      <c r="B1843" s="23"/>
      <c r="E1843" s="43"/>
      <c r="F1843" s="480"/>
      <c r="G1843" s="484"/>
      <c r="H1843" s="23"/>
      <c r="I1843" s="24"/>
      <c r="J1843" s="24"/>
      <c r="K1843" s="24"/>
      <c r="L1843" s="24"/>
      <c r="M1843" s="25"/>
      <c r="N1843" s="25"/>
      <c r="O1843" s="195"/>
    </row>
    <row r="1844" spans="1:15" ht="15.95" customHeight="1" x14ac:dyDescent="0.25">
      <c r="A1844" s="121"/>
      <c r="B1844" s="23"/>
      <c r="E1844" s="44"/>
      <c r="F1844" s="480"/>
      <c r="G1844" s="484"/>
      <c r="H1844" s="23"/>
      <c r="I1844" s="24"/>
      <c r="J1844" s="24"/>
      <c r="K1844" s="24"/>
      <c r="L1844" s="24"/>
      <c r="M1844" s="25"/>
      <c r="N1844" s="25"/>
      <c r="O1844" s="195"/>
    </row>
    <row r="1845" spans="1:15" ht="15.95" customHeight="1" x14ac:dyDescent="0.25">
      <c r="A1845" s="121"/>
      <c r="B1845" s="23"/>
      <c r="E1845" s="24"/>
      <c r="F1845" s="480"/>
      <c r="G1845" s="484"/>
      <c r="H1845" s="23"/>
      <c r="I1845" s="24"/>
      <c r="J1845" s="24"/>
      <c r="K1845" s="24"/>
      <c r="L1845" s="24"/>
      <c r="M1845" s="25"/>
      <c r="N1845" s="25"/>
      <c r="O1845" s="195"/>
    </row>
    <row r="1846" spans="1:15" ht="15.95" customHeight="1" x14ac:dyDescent="0.25">
      <c r="A1846" s="121"/>
      <c r="B1846" s="23"/>
      <c r="E1846" s="24"/>
      <c r="F1846" s="480"/>
      <c r="G1846" s="484"/>
      <c r="H1846" s="23"/>
      <c r="I1846" s="24"/>
      <c r="J1846" s="24"/>
      <c r="K1846" s="24"/>
      <c r="L1846" s="24"/>
      <c r="M1846" s="25"/>
      <c r="N1846" s="25"/>
      <c r="O1846" s="195"/>
    </row>
    <row r="1847" spans="1:15" ht="15.95" customHeight="1" x14ac:dyDescent="0.25">
      <c r="A1847" s="121"/>
      <c r="B1847" s="23"/>
      <c r="C1847" s="24"/>
      <c r="D1847" s="24"/>
      <c r="E1847" s="24"/>
      <c r="F1847" s="480"/>
      <c r="G1847" s="485"/>
      <c r="H1847" s="23"/>
      <c r="I1847" s="24"/>
      <c r="J1847" s="24"/>
      <c r="K1847" s="24"/>
      <c r="L1847" s="24"/>
      <c r="M1847" s="25"/>
      <c r="N1847" s="25"/>
      <c r="O1847" s="195"/>
    </row>
    <row r="1848" spans="1:15" ht="15.95" customHeight="1" x14ac:dyDescent="0.25">
      <c r="A1848" s="121"/>
      <c r="B1848" s="23"/>
      <c r="C1848" s="24"/>
      <c r="D1848" s="24"/>
      <c r="E1848" s="24"/>
      <c r="F1848" s="480"/>
      <c r="G1848" s="485"/>
      <c r="H1848" s="23"/>
      <c r="I1848" s="24"/>
      <c r="J1848" s="24"/>
      <c r="K1848" s="24"/>
      <c r="L1848" s="24"/>
      <c r="M1848" s="25"/>
      <c r="N1848" s="25"/>
      <c r="O1848" s="195"/>
    </row>
    <row r="1849" spans="1:15" ht="15.95" customHeight="1" x14ac:dyDescent="0.25">
      <c r="A1849" s="121"/>
      <c r="B1849" s="23"/>
      <c r="C1849" s="24"/>
      <c r="D1849" s="24"/>
      <c r="E1849" s="24"/>
      <c r="F1849" s="480"/>
      <c r="G1849" s="485"/>
      <c r="H1849" s="23"/>
      <c r="I1849" s="24"/>
      <c r="J1849" s="24"/>
      <c r="K1849" s="24"/>
      <c r="L1849" s="24"/>
      <c r="M1849" s="25"/>
      <c r="N1849" s="25"/>
      <c r="O1849" s="195"/>
    </row>
    <row r="1850" spans="1:15" ht="15.95" customHeight="1" x14ac:dyDescent="0.25">
      <c r="A1850" s="121"/>
      <c r="B1850" s="23"/>
      <c r="C1850" s="24"/>
      <c r="D1850" s="24"/>
      <c r="E1850" s="24"/>
      <c r="F1850" s="480"/>
      <c r="G1850" s="485"/>
      <c r="H1850" s="26"/>
      <c r="I1850" s="27"/>
      <c r="J1850" s="27"/>
      <c r="K1850" s="27"/>
      <c r="L1850" s="27"/>
      <c r="M1850" s="28"/>
      <c r="N1850" s="25"/>
      <c r="O1850" s="195"/>
    </row>
    <row r="1851" spans="1:15" ht="15.95" customHeight="1" x14ac:dyDescent="0.25">
      <c r="A1851" s="121"/>
      <c r="B1851" s="26"/>
      <c r="C1851" s="27"/>
      <c r="D1851" s="27"/>
      <c r="E1851" s="27"/>
      <c r="F1851" s="481"/>
      <c r="G1851" s="486"/>
      <c r="H1851" s="27"/>
      <c r="I1851" s="27"/>
      <c r="J1851" s="27"/>
      <c r="K1851" s="27"/>
      <c r="L1851" s="27"/>
      <c r="M1851" s="27"/>
      <c r="N1851" s="28"/>
      <c r="O1851" s="195"/>
    </row>
    <row r="1852" spans="1:15" ht="15.95" customHeight="1" x14ac:dyDescent="0.25">
      <c r="A1852" s="121"/>
      <c r="B1852" s="23"/>
      <c r="C1852" s="24"/>
      <c r="D1852" s="24"/>
      <c r="E1852" s="24"/>
      <c r="F1852" s="480"/>
      <c r="G1852" s="485"/>
      <c r="H1852" s="24"/>
      <c r="I1852" s="24"/>
      <c r="J1852" s="24"/>
      <c r="K1852" s="24"/>
      <c r="L1852" s="24"/>
      <c r="M1852" s="24"/>
      <c r="N1852" s="25"/>
      <c r="O1852" s="195"/>
    </row>
    <row r="1853" spans="1:15" ht="15.95" customHeight="1" x14ac:dyDescent="0.25">
      <c r="A1853" s="121"/>
      <c r="B1853" s="661" t="s">
        <v>419</v>
      </c>
      <c r="C1853" s="662"/>
      <c r="D1853" s="662"/>
      <c r="E1853" s="662"/>
      <c r="F1853" s="662"/>
      <c r="G1853" s="662"/>
      <c r="H1853" s="662"/>
      <c r="I1853" s="662"/>
      <c r="J1853" s="662"/>
      <c r="K1853" s="662"/>
      <c r="L1853" s="662"/>
      <c r="M1853" s="662"/>
      <c r="N1853" s="663"/>
      <c r="O1853" s="195"/>
    </row>
    <row r="1854" spans="1:15" ht="15" customHeight="1" x14ac:dyDescent="0.25">
      <c r="A1854" s="121"/>
      <c r="B1854" s="23"/>
      <c r="C1854" s="24"/>
      <c r="D1854" s="24"/>
      <c r="E1854" s="24"/>
      <c r="F1854" s="483"/>
      <c r="G1854" s="484"/>
      <c r="H1854" s="31"/>
      <c r="I1854" s="31"/>
      <c r="J1854" s="24"/>
      <c r="K1854" s="24"/>
      <c r="L1854" s="24"/>
      <c r="M1854" s="24"/>
      <c r="N1854" s="25"/>
      <c r="O1854" s="195"/>
    </row>
    <row r="1855" spans="1:15" ht="15.95" customHeight="1" x14ac:dyDescent="0.25">
      <c r="A1855" s="121"/>
      <c r="B1855" s="23"/>
      <c r="C1855" s="638" t="s">
        <v>37</v>
      </c>
      <c r="D1855" s="639"/>
      <c r="E1855" s="640"/>
      <c r="F1855" s="483"/>
      <c r="G1855" s="484"/>
      <c r="H1855" s="641" t="s">
        <v>28</v>
      </c>
      <c r="I1855" s="642"/>
      <c r="J1855" s="39">
        <f>+$D$1873-SUMIF($H$1861:$H$1869,"&lt;"&amp;$M$4,$K$1861:$K$1869)</f>
        <v>0</v>
      </c>
      <c r="K1855" s="24"/>
      <c r="L1855" s="24"/>
      <c r="M1855" s="24"/>
      <c r="N1855" s="25"/>
      <c r="O1855" s="195"/>
    </row>
    <row r="1856" spans="1:15" ht="15.95" customHeight="1" x14ac:dyDescent="0.25">
      <c r="A1856" s="121"/>
      <c r="B1856" s="23"/>
      <c r="C1856" s="58"/>
      <c r="D1856" s="664"/>
      <c r="E1856" s="665"/>
      <c r="F1856" s="483"/>
      <c r="G1856" s="484"/>
      <c r="H1856" s="645" t="s">
        <v>29</v>
      </c>
      <c r="I1856" s="646"/>
      <c r="J1856" s="40">
        <f>+$D$1872</f>
        <v>44744</v>
      </c>
      <c r="K1856" s="24"/>
      <c r="L1856" s="24"/>
      <c r="M1856" s="24"/>
      <c r="N1856" s="25"/>
      <c r="O1856" s="195"/>
    </row>
    <row r="1857" spans="1:17" ht="15.95" customHeight="1" x14ac:dyDescent="0.25">
      <c r="A1857" s="121"/>
      <c r="B1857" s="23"/>
      <c r="C1857" s="59" t="s">
        <v>25</v>
      </c>
      <c r="D1857" s="658"/>
      <c r="E1857" s="659"/>
      <c r="F1857" s="483"/>
      <c r="G1857" s="484"/>
      <c r="H1857" s="649" t="s">
        <v>30</v>
      </c>
      <c r="I1857" s="650"/>
      <c r="J1857" s="42" t="str">
        <f t="array" ref="J1857">+IF(H1868&gt;=M4,MIN(IF(H1861:H1869&gt;=$M$4,H1861:H1869,"")),"vencida")</f>
        <v>vencida</v>
      </c>
      <c r="K1857" s="24"/>
      <c r="L1857" s="24"/>
      <c r="M1857" s="24"/>
      <c r="N1857" s="25"/>
      <c r="O1857" s="195"/>
    </row>
    <row r="1858" spans="1:17" ht="15.95" customHeight="1" x14ac:dyDescent="0.25">
      <c r="A1858" s="121"/>
      <c r="B1858" s="23"/>
      <c r="C1858" s="59" t="s">
        <v>6</v>
      </c>
      <c r="D1858" s="658" t="s">
        <v>172</v>
      </c>
      <c r="E1858" s="659"/>
      <c r="F1858" s="483"/>
      <c r="G1858" s="484"/>
      <c r="H1858" s="24"/>
      <c r="I1858" s="24"/>
      <c r="J1858" s="24"/>
      <c r="K1858" s="24"/>
      <c r="L1858" s="24"/>
      <c r="M1858" s="24"/>
      <c r="N1858" s="25"/>
      <c r="O1858" s="194" t="str">
        <f>+D2009</f>
        <v>ON Pyme CNV Garantizada</v>
      </c>
    </row>
    <row r="1859" spans="1:17" ht="15.95" customHeight="1" x14ac:dyDescent="0.25">
      <c r="A1859" s="121"/>
      <c r="B1859" s="23"/>
      <c r="C1859" s="59" t="s">
        <v>8</v>
      </c>
      <c r="D1859" s="658" t="s">
        <v>17</v>
      </c>
      <c r="E1859" s="659"/>
      <c r="F1859" s="483"/>
      <c r="G1859" s="484"/>
      <c r="H1859" s="651" t="s">
        <v>41</v>
      </c>
      <c r="I1859" s="652"/>
      <c r="J1859" s="652"/>
      <c r="K1859" s="652"/>
      <c r="L1859" s="653"/>
      <c r="M1859" s="24"/>
      <c r="N1859" s="25"/>
      <c r="O1859" s="195"/>
    </row>
    <row r="1860" spans="1:17" ht="15.95" customHeight="1" x14ac:dyDescent="0.25">
      <c r="A1860" s="121"/>
      <c r="B1860" s="23"/>
      <c r="C1860" s="59" t="s">
        <v>33</v>
      </c>
      <c r="D1860" s="73" t="s">
        <v>309</v>
      </c>
      <c r="E1860" s="273">
        <v>1</v>
      </c>
      <c r="F1860" s="483">
        <f>+E1860*J1855</f>
        <v>0</v>
      </c>
      <c r="G1860" s="484"/>
      <c r="H1860" s="81" t="s">
        <v>0</v>
      </c>
      <c r="I1860" s="82" t="s">
        <v>2</v>
      </c>
      <c r="J1860" s="82" t="s">
        <v>3</v>
      </c>
      <c r="K1860" s="82" t="s">
        <v>4</v>
      </c>
      <c r="L1860" s="83" t="s">
        <v>5</v>
      </c>
      <c r="M1860" s="82" t="s">
        <v>44</v>
      </c>
      <c r="N1860" s="25"/>
      <c r="O1860" s="194" t="str">
        <f>+IF(J2007="vencida",IF(D2009='Reporte - Oscuro'!$C$40,'Reporte - Oscuro'!$C$40&amp;" vencida",IF(D2009='Reporte - Oscuro'!$C$41,'Reporte - Oscuro'!$C$41&amp;" vencida",IF(D2009='Reporte - Oscuro'!$C$42,'Reporte - Oscuro'!$C$42&amp;" vencida",'Reporte - Oscuro'!$C$43&amp;" vencida"))),D2009&amp;" vigente")</f>
        <v>ON Pyme CNV Garantizada vencida</v>
      </c>
    </row>
    <row r="1861" spans="1:17" ht="15.95" customHeight="1" x14ac:dyDescent="0.25">
      <c r="A1861" s="121"/>
      <c r="B1861" s="23"/>
      <c r="C1861" s="59" t="s">
        <v>34</v>
      </c>
      <c r="D1861" s="658" t="s">
        <v>48</v>
      </c>
      <c r="E1861" s="659"/>
      <c r="F1861" s="483"/>
      <c r="G1861" s="484"/>
      <c r="H1861" s="45"/>
      <c r="I1861" s="46"/>
      <c r="J1861" s="46"/>
      <c r="K1861" s="46"/>
      <c r="L1861" s="47"/>
      <c r="M1861" s="23"/>
      <c r="N1861" s="25"/>
      <c r="O1861" s="195"/>
    </row>
    <row r="1862" spans="1:17" ht="15.95" customHeight="1" x14ac:dyDescent="0.25">
      <c r="A1862" s="121"/>
      <c r="B1862" s="23"/>
      <c r="C1862" s="79" t="s">
        <v>38</v>
      </c>
      <c r="D1862" s="75"/>
      <c r="E1862" s="76"/>
      <c r="F1862" s="483"/>
      <c r="G1862" s="484"/>
      <c r="H1862" s="48">
        <f>+$D$1871</f>
        <v>43648</v>
      </c>
      <c r="I1862" s="70"/>
      <c r="J1862" s="49"/>
      <c r="K1862" s="49"/>
      <c r="L1862" s="50">
        <f>+D1873</f>
        <v>3000000</v>
      </c>
      <c r="M1862" s="93">
        <f>-L1862</f>
        <v>-3000000</v>
      </c>
      <c r="N1862" s="25"/>
      <c r="O1862" s="195"/>
    </row>
    <row r="1863" spans="1:17" ht="15.95" customHeight="1" x14ac:dyDescent="0.25">
      <c r="A1863" s="121"/>
      <c r="B1863" s="23"/>
      <c r="C1863" s="59"/>
      <c r="D1863" s="73"/>
      <c r="E1863" s="74"/>
      <c r="F1863" s="483"/>
      <c r="G1863" s="484"/>
      <c r="H1863" s="51">
        <f>IF(DAY(H1862)=DAY($H$1862),IF(WEEKDAY(EDATE(H1862,$D$1874),3)&lt;5,EDATE(H1862,$D$1874),WORKDAY(EDATE(H1862,$D$1874),1)),IF(WEEKDAY(EDATE($H$1862,$D$1874*COUNT($H$1862:H1862)),3)&lt;5,EDATE($H$1862,$D$1874*COUNT($H$1862:H1862)),WORKDAY(EDATE($H$1862,$D$1874*COUNT($H$1862:H1862)),1)))</f>
        <v>43832</v>
      </c>
      <c r="I1863" s="71" t="s">
        <v>13</v>
      </c>
      <c r="J1863" s="52">
        <v>787117.5</v>
      </c>
      <c r="K1863" s="52">
        <f>+IF(OR(I1863="A + C",I1863="A"),$D$1873*$D$1879,0)</f>
        <v>300000</v>
      </c>
      <c r="L1863" s="53">
        <f t="shared" ref="L1863:L1868" si="182">+L1862-K1863</f>
        <v>2700000</v>
      </c>
      <c r="M1863" s="94">
        <f t="shared" ref="M1863:M1868" si="183">+J1863+K1863</f>
        <v>1087117.5</v>
      </c>
      <c r="N1863" s="25"/>
      <c r="O1863" s="195"/>
    </row>
    <row r="1864" spans="1:17" ht="20.100000000000001" customHeight="1" x14ac:dyDescent="0.25">
      <c r="A1864" s="121"/>
      <c r="B1864" s="23"/>
      <c r="C1864" s="60"/>
      <c r="D1864" s="77"/>
      <c r="E1864" s="78"/>
      <c r="F1864" s="483"/>
      <c r="G1864" s="484"/>
      <c r="H1864" s="51">
        <f>IF(DAY(H1863)=DAY($H$1862),IF(WEEKDAY(EDATE(H1863,$D$1874),3)&lt;5,EDATE(H1863,$D$1874),WORKDAY(EDATE(H1863,$D$1874),1)),IF(WEEKDAY(EDATE($H$1862,$D$1874*COUNT($H$1862:H1863)),3)&lt;5,EDATE($H$1862,$D$1874*COUNT($H$1862:H1863)),WORKDAY(EDATE($H$1862,$D$1874*COUNT($H$1862:H1863)),1)))</f>
        <v>44014</v>
      </c>
      <c r="I1864" s="71" t="s">
        <v>13</v>
      </c>
      <c r="J1864" s="52">
        <v>538185.375</v>
      </c>
      <c r="K1864" s="52">
        <f>+IF(OR(I1864="A + C",I1864="A"),$D$1873*$D$1879,0)</f>
        <v>300000</v>
      </c>
      <c r="L1864" s="53">
        <f t="shared" si="182"/>
        <v>2400000</v>
      </c>
      <c r="M1864" s="94">
        <f t="shared" si="183"/>
        <v>838185.375</v>
      </c>
      <c r="N1864" s="25"/>
      <c r="O1864" s="195"/>
    </row>
    <row r="1865" spans="1:17" ht="15.95" customHeight="1" x14ac:dyDescent="0.25">
      <c r="A1865" s="121"/>
      <c r="B1865" s="23"/>
      <c r="C1865" s="60"/>
      <c r="D1865" s="55" t="str">
        <f>+B1853</f>
        <v>PROSEIND I</v>
      </c>
      <c r="E1865" s="64"/>
      <c r="F1865" s="483"/>
      <c r="G1865" s="484">
        <f>+J1855</f>
        <v>0</v>
      </c>
      <c r="H1865" s="51">
        <f>IF(DAY(H1864)=DAY($H$1862),IF(WEEKDAY(EDATE(H1864,$D$1874),3)&lt;5,EDATE(H1864,$D$1874),WORKDAY(EDATE(H1864,$D$1874),1)),IF(WEEKDAY(EDATE($H$1862,$D$1874*COUNT($H$1862:H1864)),3)&lt;5,EDATE($H$1862,$D$1874*COUNT($H$1862:H1864)),WORKDAY(EDATE($H$1862,$D$1874*COUNT($H$1862:H1864)),1)))</f>
        <v>44200</v>
      </c>
      <c r="I1865" s="71" t="s">
        <v>13</v>
      </c>
      <c r="J1865" s="52">
        <v>398225.99999999994</v>
      </c>
      <c r="K1865" s="52">
        <f>+IF(OR(I1865="A + C",I1865="A"),$D$1873*$D$1880,0)</f>
        <v>600000</v>
      </c>
      <c r="L1865" s="53">
        <f t="shared" si="182"/>
        <v>1800000</v>
      </c>
      <c r="M1865" s="94">
        <f t="shared" si="183"/>
        <v>998226</v>
      </c>
      <c r="N1865" s="25"/>
      <c r="O1865" s="197">
        <f>+M2012</f>
        <v>-8000000</v>
      </c>
      <c r="P1865" s="197">
        <f>-M2012</f>
        <v>8000000</v>
      </c>
      <c r="Q1865" s="197"/>
    </row>
    <row r="1866" spans="1:17" ht="15.95" customHeight="1" x14ac:dyDescent="0.25">
      <c r="A1866" s="121"/>
      <c r="B1866" s="32"/>
      <c r="D1866" s="644"/>
      <c r="E1866" s="660"/>
      <c r="F1866" s="483"/>
      <c r="G1866" s="484"/>
      <c r="H1866" s="51">
        <f>IF(DAY(H1865)=DAY($H$1862),IF(WEEKDAY(EDATE(H1865,$D$1874),3)&lt;5,EDATE(H1865,$D$1874),WORKDAY(EDATE(H1865,$D$1874),1)),IF(WEEKDAY(EDATE($H$1862,$D$1874*COUNT($H$1862:H1865)),3)&lt;5,EDATE($H$1862,$D$1874*COUNT($H$1862:H1865)),WORKDAY(EDATE($H$1862,$D$1874*COUNT($H$1862:H1865)),1)))</f>
        <v>44379</v>
      </c>
      <c r="I1866" s="71" t="s">
        <v>13</v>
      </c>
      <c r="J1866" s="52">
        <v>287429.24999999994</v>
      </c>
      <c r="K1866" s="52">
        <f>+IF(OR(I1866="A + C",I1866="A"),$D$1873*$D$1880,0)</f>
        <v>600000</v>
      </c>
      <c r="L1866" s="53">
        <f t="shared" si="182"/>
        <v>1200000</v>
      </c>
      <c r="M1866" s="94">
        <f t="shared" si="183"/>
        <v>887429.25</v>
      </c>
      <c r="N1866" s="25"/>
      <c r="O1866" s="197">
        <f t="shared" ref="O1866:O1877" si="184">+M2013+O1865</f>
        <v>-6933750</v>
      </c>
      <c r="P1866" s="197">
        <f t="shared" ref="P1866:P1877" si="185">+(M2013/(1+$J$2028)^((H2013-$H$2012)/365))/$P$1865</f>
        <v>0.13328124999999999</v>
      </c>
      <c r="Q1866" s="197">
        <f t="shared" ref="Q1866:Q1877" si="186">+P1866*((H2013-$H$2012)/365)</f>
        <v>3.2863869863013692E-2</v>
      </c>
    </row>
    <row r="1867" spans="1:17" ht="15.95" customHeight="1" x14ac:dyDescent="0.25">
      <c r="A1867" s="121"/>
      <c r="B1867" s="23"/>
      <c r="C1867" s="638" t="s">
        <v>36</v>
      </c>
      <c r="D1867" s="640"/>
      <c r="E1867" s="36"/>
      <c r="F1867" s="483"/>
      <c r="G1867" s="484"/>
      <c r="H1867" s="51">
        <f>IF(DAY(H1866)=DAY($H$1862),IF(WEEKDAY(EDATE(H1866,$D$1874),3)&lt;5,EDATE(H1866,$D$1874),WORKDAY(EDATE(H1866,$D$1874),1)),IF(WEEKDAY(EDATE($H$1862,$D$1874*COUNT($H$1862:H1866)),3)&lt;5,EDATE($H$1862,$D$1874*COUNT($H$1862:H1866)),WORKDAY(EDATE($H$1862,$D$1874*COUNT($H$1862:H1866)),1)))</f>
        <v>44564</v>
      </c>
      <c r="I1867" s="71" t="s">
        <v>13</v>
      </c>
      <c r="J1867" s="52">
        <v>198042.5</v>
      </c>
      <c r="K1867" s="52">
        <f>+IF(OR(I1867="A + C",I1867="A"),$D$1873*$D$1880,0)</f>
        <v>600000</v>
      </c>
      <c r="L1867" s="53">
        <f t="shared" si="182"/>
        <v>600000</v>
      </c>
      <c r="M1867" s="94">
        <f t="shared" si="183"/>
        <v>798042.5</v>
      </c>
      <c r="N1867" s="25"/>
      <c r="O1867" s="197">
        <f t="shared" si="184"/>
        <v>-4995361.111111111</v>
      </c>
      <c r="P1867" s="197">
        <f t="shared" si="185"/>
        <v>0.24229861111111109</v>
      </c>
      <c r="Q1867" s="197">
        <f t="shared" si="186"/>
        <v>0.12015355783866057</v>
      </c>
    </row>
    <row r="1868" spans="1:17" ht="15.95" customHeight="1" x14ac:dyDescent="0.25">
      <c r="A1868" s="121"/>
      <c r="B1868" s="23"/>
      <c r="C1868" s="59"/>
      <c r="D1868" s="62"/>
      <c r="E1868" s="36"/>
      <c r="F1868" s="483"/>
      <c r="G1868" s="484"/>
      <c r="H1868" s="51">
        <v>44744</v>
      </c>
      <c r="I1868" s="71" t="s">
        <v>13</v>
      </c>
      <c r="J1868" s="52">
        <v>97415.5</v>
      </c>
      <c r="K1868" s="52">
        <f>+IF(OR(I1868="A + C",I1868="A"),$D$1873*$D$1880,0)</f>
        <v>600000</v>
      </c>
      <c r="L1868" s="53">
        <f t="shared" si="182"/>
        <v>0</v>
      </c>
      <c r="M1868" s="94">
        <f t="shared" si="183"/>
        <v>697415.5</v>
      </c>
      <c r="N1868" s="25"/>
      <c r="O1868" s="197">
        <f t="shared" si="184"/>
        <v>-3200954.444444444</v>
      </c>
      <c r="P1868" s="197">
        <f t="shared" si="185"/>
        <v>0.22430083333333334</v>
      </c>
      <c r="Q1868" s="197">
        <f t="shared" si="186"/>
        <v>0.16776473287671234</v>
      </c>
    </row>
    <row r="1869" spans="1:17" ht="15.95" customHeight="1" x14ac:dyDescent="0.25">
      <c r="A1869" s="121"/>
      <c r="B1869" s="23"/>
      <c r="C1869" s="59" t="s">
        <v>9</v>
      </c>
      <c r="D1869" s="98" t="s">
        <v>18</v>
      </c>
      <c r="E1869" s="36"/>
      <c r="F1869" s="483"/>
      <c r="G1869" s="484"/>
      <c r="H1869" s="54"/>
      <c r="I1869" s="104"/>
      <c r="J1869" s="105"/>
      <c r="K1869" s="105"/>
      <c r="L1869" s="106"/>
      <c r="M1869" s="94"/>
      <c r="N1869" s="25"/>
      <c r="O1869" s="197">
        <f t="shared" si="184"/>
        <v>-1659496.666666666</v>
      </c>
      <c r="P1869" s="197">
        <f t="shared" si="185"/>
        <v>0.19268222222222225</v>
      </c>
      <c r="Q1869" s="197">
        <f t="shared" si="186"/>
        <v>0.19268222222222225</v>
      </c>
    </row>
    <row r="1870" spans="1:17" ht="15.95" customHeight="1" x14ac:dyDescent="0.25">
      <c r="A1870" s="121"/>
      <c r="B1870" s="23"/>
      <c r="C1870" s="59" t="s">
        <v>10</v>
      </c>
      <c r="D1870" s="65">
        <v>43643</v>
      </c>
      <c r="E1870" s="36"/>
      <c r="F1870" s="483"/>
      <c r="G1870" s="484"/>
      <c r="H1870" s="109"/>
      <c r="I1870" s="109"/>
      <c r="J1870" s="109"/>
      <c r="K1870" s="109"/>
      <c r="L1870" s="109"/>
      <c r="M1870" s="109"/>
      <c r="N1870" s="25"/>
      <c r="O1870" s="197">
        <f t="shared" si="184"/>
        <v>-380134.16666666605</v>
      </c>
      <c r="P1870" s="197">
        <f t="shared" si="185"/>
        <v>0.15992031249999999</v>
      </c>
      <c r="Q1870" s="197">
        <f t="shared" si="186"/>
        <v>0.19935271832191781</v>
      </c>
    </row>
    <row r="1871" spans="1:17" ht="15.95" customHeight="1" x14ac:dyDescent="0.25">
      <c r="A1871" s="121"/>
      <c r="B1871" s="23"/>
      <c r="C1871" s="59" t="s">
        <v>11</v>
      </c>
      <c r="D1871" s="65">
        <v>43648</v>
      </c>
      <c r="E1871" s="36"/>
      <c r="F1871" s="483"/>
      <c r="G1871" s="484"/>
      <c r="H1871" s="656" t="s">
        <v>43</v>
      </c>
      <c r="I1871" s="656"/>
      <c r="J1871" s="92">
        <v>0</v>
      </c>
      <c r="K1871" s="92"/>
      <c r="L1871" s="24"/>
      <c r="M1871" s="24"/>
      <c r="N1871" s="25"/>
      <c r="O1871" s="197">
        <f t="shared" si="184"/>
        <v>786372.5000000007</v>
      </c>
      <c r="P1871" s="197">
        <f t="shared" si="185"/>
        <v>0.14581333333333335</v>
      </c>
      <c r="Q1871" s="197">
        <f t="shared" si="186"/>
        <v>0.21852025570776257</v>
      </c>
    </row>
    <row r="1872" spans="1:17" ht="15.95" customHeight="1" x14ac:dyDescent="0.25">
      <c r="A1872" s="121"/>
      <c r="B1872" s="23"/>
      <c r="C1872" s="59" t="s">
        <v>12</v>
      </c>
      <c r="D1872" s="65">
        <v>44744</v>
      </c>
      <c r="E1872" s="36"/>
      <c r="F1872" s="483"/>
      <c r="G1872" s="484"/>
      <c r="H1872" s="657"/>
      <c r="I1872" s="657"/>
      <c r="J1872" s="392"/>
      <c r="K1872" s="24"/>
      <c r="L1872" s="33"/>
      <c r="M1872" s="33"/>
      <c r="N1872" s="25"/>
      <c r="O1872" s="197">
        <f t="shared" si="184"/>
        <v>1890089.1666666674</v>
      </c>
      <c r="P1872" s="197">
        <f t="shared" si="185"/>
        <v>0.13796458333333333</v>
      </c>
      <c r="Q1872" s="197">
        <f t="shared" si="186"/>
        <v>0.24153251712328769</v>
      </c>
    </row>
    <row r="1873" spans="1:17" ht="15.95" customHeight="1" x14ac:dyDescent="0.25">
      <c r="A1873" s="121"/>
      <c r="B1873" s="23"/>
      <c r="C1873" s="59" t="s">
        <v>27</v>
      </c>
      <c r="D1873" s="66">
        <v>3000000</v>
      </c>
      <c r="E1873" s="41"/>
      <c r="F1873" s="480"/>
      <c r="G1873" s="484"/>
      <c r="H1873" s="24"/>
      <c r="I1873" s="24"/>
      <c r="J1873" s="24"/>
      <c r="K1873" s="24"/>
      <c r="L1873" s="24"/>
      <c r="M1873" s="24"/>
      <c r="N1873" s="25"/>
      <c r="O1873" s="197">
        <f t="shared" si="184"/>
        <v>2931015.833333334</v>
      </c>
      <c r="P1873" s="197">
        <f t="shared" si="185"/>
        <v>0.13011583333333335</v>
      </c>
      <c r="Q1873" s="197">
        <f t="shared" si="186"/>
        <v>0.26058814840182654</v>
      </c>
    </row>
    <row r="1874" spans="1:17" ht="15.95" customHeight="1" x14ac:dyDescent="0.25">
      <c r="A1874" s="121"/>
      <c r="B1874" s="23"/>
      <c r="C1874" s="59" t="s">
        <v>26</v>
      </c>
      <c r="D1874" s="66">
        <v>6</v>
      </c>
      <c r="E1874" s="36"/>
      <c r="F1874" s="480"/>
      <c r="G1874" s="484"/>
      <c r="H1874" s="638" t="s">
        <v>44</v>
      </c>
      <c r="I1874" s="639"/>
      <c r="J1874" s="639"/>
      <c r="K1874" s="639"/>
      <c r="L1874" s="639"/>
      <c r="M1874" s="640"/>
      <c r="N1874" s="25"/>
      <c r="O1874" s="197">
        <f t="shared" si="184"/>
        <v>3900735.0000000009</v>
      </c>
      <c r="P1874" s="197">
        <f t="shared" si="185"/>
        <v>0.12121489583333335</v>
      </c>
      <c r="Q1874" s="197">
        <f t="shared" si="186"/>
        <v>0.2723183961187215</v>
      </c>
    </row>
    <row r="1875" spans="1:17" ht="15.95" customHeight="1" x14ac:dyDescent="0.25">
      <c r="A1875" s="121"/>
      <c r="B1875" s="23"/>
      <c r="C1875" s="59" t="s">
        <v>19</v>
      </c>
      <c r="D1875" s="67" t="s">
        <v>20</v>
      </c>
      <c r="E1875" s="43"/>
      <c r="F1875" s="480"/>
      <c r="G1875" s="484"/>
      <c r="H1875" s="23"/>
      <c r="I1875" s="24"/>
      <c r="J1875" s="24"/>
      <c r="K1875" s="24"/>
      <c r="L1875" s="24"/>
      <c r="M1875" s="25"/>
      <c r="N1875" s="25"/>
      <c r="O1875" s="197">
        <f t="shared" si="184"/>
        <v>4816081.6666666679</v>
      </c>
      <c r="P1875" s="197">
        <f t="shared" si="185"/>
        <v>0.11441833333333333</v>
      </c>
      <c r="Q1875" s="197">
        <f t="shared" si="186"/>
        <v>0.28588909589041095</v>
      </c>
    </row>
    <row r="1876" spans="1:17" ht="15.95" customHeight="1" x14ac:dyDescent="0.25">
      <c r="A1876" s="121"/>
      <c r="B1876" s="23"/>
      <c r="C1876" s="59" t="s">
        <v>14</v>
      </c>
      <c r="D1876" s="68">
        <v>5.9900000000000002E-2</v>
      </c>
      <c r="E1876" s="43"/>
      <c r="F1876" s="480"/>
      <c r="G1876" s="484"/>
      <c r="H1876" s="23"/>
      <c r="I1876" s="24"/>
      <c r="J1876" s="24"/>
      <c r="K1876" s="24"/>
      <c r="L1876" s="24"/>
      <c r="M1876" s="25"/>
      <c r="N1876" s="25"/>
      <c r="O1876" s="197">
        <f t="shared" si="184"/>
        <v>5668638.3333333349</v>
      </c>
      <c r="P1876" s="197">
        <f t="shared" si="185"/>
        <v>0.10656958333333333</v>
      </c>
      <c r="Q1876" s="197">
        <f t="shared" si="186"/>
        <v>0.29313934703196343</v>
      </c>
    </row>
    <row r="1877" spans="1:17" ht="15.95" customHeight="1" x14ac:dyDescent="0.25">
      <c r="A1877" s="121"/>
      <c r="B1877" s="23"/>
      <c r="C1877" s="59" t="s">
        <v>31</v>
      </c>
      <c r="D1877" s="68"/>
      <c r="E1877" s="43"/>
      <c r="F1877" s="480"/>
      <c r="G1877" s="484"/>
      <c r="H1877" s="96"/>
      <c r="I1877" s="35"/>
      <c r="J1877" s="24"/>
      <c r="K1877" s="24"/>
      <c r="L1877" s="24"/>
      <c r="M1877" s="25"/>
      <c r="N1877" s="25"/>
      <c r="O1877" s="197">
        <f t="shared" si="184"/>
        <v>6539921.6666666679</v>
      </c>
      <c r="P1877" s="197">
        <f t="shared" si="185"/>
        <v>0.10891041666666668</v>
      </c>
      <c r="Q1877" s="197">
        <f t="shared" si="186"/>
        <v>0.32762640410958904</v>
      </c>
    </row>
    <row r="1878" spans="1:17" ht="15.95" customHeight="1" x14ac:dyDescent="0.25">
      <c r="A1878" s="121"/>
      <c r="B1878" s="23"/>
      <c r="C1878" s="59" t="s">
        <v>32</v>
      </c>
      <c r="D1878" s="68"/>
      <c r="E1878" s="44"/>
      <c r="F1878" s="480"/>
      <c r="G1878" s="484"/>
      <c r="H1878" s="23"/>
      <c r="I1878" s="24"/>
      <c r="J1878" s="24"/>
      <c r="K1878" s="24"/>
      <c r="L1878" s="24"/>
      <c r="M1878" s="25"/>
      <c r="N1878" s="25"/>
      <c r="O1878" s="195"/>
    </row>
    <row r="1879" spans="1:17" ht="15.95" customHeight="1" x14ac:dyDescent="0.25">
      <c r="A1879" s="121"/>
      <c r="B1879" s="23"/>
      <c r="C1879" s="59" t="s">
        <v>81</v>
      </c>
      <c r="D1879" s="68">
        <v>0.1</v>
      </c>
      <c r="E1879" s="24"/>
      <c r="F1879" s="480"/>
      <c r="G1879" s="484"/>
      <c r="H1879" s="23"/>
      <c r="I1879" s="24"/>
      <c r="J1879" s="24"/>
      <c r="K1879" s="24"/>
      <c r="L1879" s="24"/>
      <c r="M1879" s="25"/>
      <c r="N1879" s="25"/>
      <c r="O1879" s="195"/>
    </row>
    <row r="1880" spans="1:17" ht="15.95" customHeight="1" x14ac:dyDescent="0.25">
      <c r="A1880" s="121"/>
      <c r="B1880" s="23"/>
      <c r="C1880" s="59" t="s">
        <v>64</v>
      </c>
      <c r="D1880" s="68">
        <v>0.2</v>
      </c>
      <c r="E1880" s="24"/>
      <c r="F1880" s="480"/>
      <c r="G1880" s="484"/>
      <c r="H1880" s="23"/>
      <c r="I1880" s="24"/>
      <c r="J1880" s="24"/>
      <c r="K1880" s="24"/>
      <c r="L1880" s="24"/>
      <c r="M1880" s="25"/>
      <c r="N1880" s="25"/>
      <c r="O1880" s="195"/>
    </row>
    <row r="1881" spans="1:17" ht="15.95" customHeight="1" x14ac:dyDescent="0.25">
      <c r="A1881" s="121"/>
      <c r="B1881" s="23"/>
      <c r="C1881" s="60"/>
      <c r="D1881" s="110"/>
      <c r="E1881" s="24"/>
      <c r="F1881" s="480"/>
      <c r="G1881" s="484"/>
      <c r="H1881" s="23"/>
      <c r="I1881" s="24"/>
      <c r="J1881" s="24"/>
      <c r="K1881" s="24"/>
      <c r="L1881" s="24"/>
      <c r="M1881" s="25"/>
      <c r="N1881" s="25"/>
      <c r="O1881" s="195"/>
    </row>
    <row r="1882" spans="1:17" ht="15.95" customHeight="1" x14ac:dyDescent="0.25">
      <c r="A1882" s="121"/>
      <c r="B1882" s="23"/>
      <c r="C1882" s="24"/>
      <c r="D1882" s="24"/>
      <c r="E1882" s="24"/>
      <c r="F1882" s="480"/>
      <c r="G1882" s="485"/>
      <c r="H1882" s="23"/>
      <c r="I1882" s="24"/>
      <c r="J1882" s="24"/>
      <c r="K1882" s="24"/>
      <c r="L1882" s="24"/>
      <c r="M1882" s="25"/>
      <c r="N1882" s="25"/>
      <c r="O1882" s="195"/>
    </row>
    <row r="1883" spans="1:17" ht="15.95" customHeight="1" x14ac:dyDescent="0.25">
      <c r="A1883" s="121"/>
      <c r="B1883" s="23"/>
      <c r="C1883" s="24"/>
      <c r="D1883" s="24"/>
      <c r="E1883" s="24"/>
      <c r="F1883" s="480"/>
      <c r="G1883" s="485"/>
      <c r="H1883" s="23"/>
      <c r="I1883" s="24"/>
      <c r="J1883" s="24"/>
      <c r="K1883" s="24"/>
      <c r="L1883" s="24"/>
      <c r="M1883" s="25"/>
      <c r="N1883" s="25"/>
      <c r="O1883" s="195"/>
    </row>
    <row r="1884" spans="1:17" ht="15.95" customHeight="1" x14ac:dyDescent="0.25">
      <c r="A1884" s="121"/>
      <c r="B1884" s="23"/>
      <c r="C1884" s="24"/>
      <c r="D1884" s="24"/>
      <c r="E1884" s="24"/>
      <c r="F1884" s="480"/>
      <c r="G1884" s="485"/>
      <c r="H1884" s="23"/>
      <c r="I1884" s="24"/>
      <c r="J1884" s="24"/>
      <c r="K1884" s="24"/>
      <c r="L1884" s="24"/>
      <c r="M1884" s="25"/>
      <c r="N1884" s="25"/>
      <c r="O1884" s="195"/>
    </row>
    <row r="1885" spans="1:17" ht="15.95" customHeight="1" x14ac:dyDescent="0.25">
      <c r="A1885" s="121"/>
      <c r="B1885" s="23"/>
      <c r="C1885" s="24"/>
      <c r="D1885" s="24"/>
      <c r="E1885" s="24"/>
      <c r="F1885" s="480"/>
      <c r="G1885" s="485"/>
      <c r="H1885" s="23"/>
      <c r="I1885" s="24"/>
      <c r="J1885" s="24"/>
      <c r="K1885" s="24"/>
      <c r="L1885" s="24"/>
      <c r="M1885" s="25"/>
      <c r="N1885" s="25"/>
      <c r="O1885" s="195"/>
    </row>
    <row r="1886" spans="1:17" ht="15.95" customHeight="1" x14ac:dyDescent="0.25">
      <c r="A1886" s="121"/>
      <c r="B1886" s="23"/>
      <c r="C1886" s="24"/>
      <c r="D1886" s="24"/>
      <c r="E1886" s="24"/>
      <c r="F1886" s="480"/>
      <c r="G1886" s="485"/>
      <c r="H1886" s="23"/>
      <c r="I1886" s="24"/>
      <c r="J1886" s="24"/>
      <c r="K1886" s="24"/>
      <c r="L1886" s="24"/>
      <c r="M1886" s="25"/>
      <c r="N1886" s="25"/>
      <c r="O1886" s="195"/>
    </row>
    <row r="1887" spans="1:17" ht="15.95" customHeight="1" x14ac:dyDescent="0.25">
      <c r="A1887" s="121"/>
      <c r="B1887" s="23"/>
      <c r="C1887" s="24"/>
      <c r="D1887" s="24"/>
      <c r="E1887" s="24"/>
      <c r="F1887" s="480"/>
      <c r="G1887" s="485"/>
      <c r="H1887" s="26"/>
      <c r="I1887" s="27"/>
      <c r="J1887" s="27"/>
      <c r="K1887" s="27"/>
      <c r="L1887" s="27"/>
      <c r="M1887" s="28"/>
      <c r="N1887" s="25"/>
      <c r="O1887" s="195"/>
    </row>
    <row r="1888" spans="1:17" ht="15.95" customHeight="1" x14ac:dyDescent="0.25">
      <c r="A1888" s="121"/>
      <c r="B1888" s="26"/>
      <c r="C1888" s="27"/>
      <c r="D1888" s="27"/>
      <c r="E1888" s="27"/>
      <c r="F1888" s="481"/>
      <c r="G1888" s="486"/>
      <c r="H1888" s="27"/>
      <c r="I1888" s="27"/>
      <c r="J1888" s="27"/>
      <c r="K1888" s="27"/>
      <c r="L1888" s="27"/>
      <c r="M1888" s="27"/>
      <c r="N1888" s="28"/>
      <c r="O1888" s="195"/>
    </row>
    <row r="1889" spans="1:17" ht="15.95" customHeight="1" x14ac:dyDescent="0.25">
      <c r="A1889" s="122" t="s">
        <v>132</v>
      </c>
      <c r="B1889" s="661" t="s">
        <v>348</v>
      </c>
      <c r="C1889" s="662"/>
      <c r="D1889" s="662"/>
      <c r="E1889" s="662"/>
      <c r="F1889" s="662"/>
      <c r="G1889" s="662"/>
      <c r="H1889" s="662"/>
      <c r="I1889" s="662"/>
      <c r="J1889" s="662"/>
      <c r="K1889" s="662"/>
      <c r="L1889" s="662"/>
      <c r="M1889" s="662"/>
      <c r="N1889" s="663"/>
      <c r="O1889" s="195"/>
    </row>
    <row r="1890" spans="1:17" ht="15.95" customHeight="1" x14ac:dyDescent="0.25">
      <c r="A1890" s="121"/>
      <c r="B1890" s="23"/>
      <c r="C1890" s="24"/>
      <c r="D1890" s="24"/>
      <c r="E1890" s="24"/>
      <c r="F1890" s="483"/>
      <c r="G1890" s="484"/>
      <c r="H1890" s="31"/>
      <c r="I1890" s="31"/>
      <c r="J1890" s="24"/>
      <c r="K1890" s="24"/>
      <c r="L1890" s="24"/>
      <c r="M1890" s="24"/>
      <c r="N1890" s="25"/>
      <c r="O1890" s="195"/>
    </row>
    <row r="1891" spans="1:17" ht="15.95" customHeight="1" x14ac:dyDescent="0.25">
      <c r="A1891" s="121"/>
      <c r="B1891" s="23"/>
      <c r="C1891" s="638" t="s">
        <v>37</v>
      </c>
      <c r="D1891" s="639"/>
      <c r="E1891" s="640"/>
      <c r="F1891" s="483"/>
      <c r="G1891" s="484"/>
      <c r="H1891" s="641" t="s">
        <v>28</v>
      </c>
      <c r="I1891" s="642"/>
      <c r="J1891" s="39">
        <f>+$D$1909-SUMIF($H$1897:$H$1905,"&lt;"&amp;M4,$K$1897:$K$1905)</f>
        <v>0</v>
      </c>
      <c r="K1891" s="24"/>
      <c r="L1891" s="24"/>
      <c r="M1891" s="24"/>
      <c r="N1891" s="25"/>
      <c r="O1891" s="195"/>
    </row>
    <row r="1892" spans="1:17" ht="15.95" customHeight="1" x14ac:dyDescent="0.25">
      <c r="A1892" s="121"/>
      <c r="B1892" s="23"/>
      <c r="C1892" s="58"/>
      <c r="D1892" s="664"/>
      <c r="E1892" s="665"/>
      <c r="F1892" s="483"/>
      <c r="G1892" s="484"/>
      <c r="H1892" s="645" t="s">
        <v>29</v>
      </c>
      <c r="I1892" s="646"/>
      <c r="J1892" s="40">
        <f>+$D$1908</f>
        <v>44369</v>
      </c>
      <c r="K1892" s="24"/>
      <c r="L1892" s="24"/>
      <c r="M1892" s="24"/>
      <c r="N1892" s="25"/>
      <c r="O1892" s="195"/>
    </row>
    <row r="1893" spans="1:17" ht="15.95" customHeight="1" x14ac:dyDescent="0.25">
      <c r="A1893" s="121"/>
      <c r="B1893" s="23"/>
      <c r="C1893" s="59" t="s">
        <v>25</v>
      </c>
      <c r="D1893" s="658"/>
      <c r="E1893" s="659"/>
      <c r="F1893" s="483"/>
      <c r="G1893" s="484"/>
      <c r="H1893" s="649" t="s">
        <v>30</v>
      </c>
      <c r="I1893" s="650"/>
      <c r="J1893" s="42" t="s">
        <v>357</v>
      </c>
      <c r="K1893" s="24"/>
      <c r="L1893" s="24"/>
      <c r="M1893" s="24"/>
      <c r="N1893" s="25"/>
      <c r="O1893" s="195"/>
    </row>
    <row r="1894" spans="1:17" ht="15.95" customHeight="1" x14ac:dyDescent="0.25">
      <c r="A1894" s="121"/>
      <c r="B1894" s="23"/>
      <c r="C1894" s="59" t="s">
        <v>6</v>
      </c>
      <c r="D1894" s="658" t="s">
        <v>347</v>
      </c>
      <c r="E1894" s="659"/>
      <c r="F1894" s="483"/>
      <c r="G1894" s="484"/>
      <c r="H1894" s="24"/>
      <c r="I1894" s="24"/>
      <c r="J1894" s="24"/>
      <c r="K1894" s="24"/>
      <c r="L1894" s="24"/>
      <c r="M1894" s="24"/>
      <c r="N1894" s="25"/>
      <c r="O1894" s="195"/>
    </row>
    <row r="1895" spans="1:17" ht="15.95" customHeight="1" x14ac:dyDescent="0.25">
      <c r="A1895" s="121"/>
      <c r="B1895" s="23"/>
      <c r="C1895" s="59" t="s">
        <v>8</v>
      </c>
      <c r="D1895" s="658" t="s">
        <v>61</v>
      </c>
      <c r="E1895" s="659"/>
      <c r="F1895" s="483"/>
      <c r="G1895" s="484"/>
      <c r="H1895" s="651" t="s">
        <v>41</v>
      </c>
      <c r="I1895" s="652"/>
      <c r="J1895" s="652"/>
      <c r="K1895" s="652"/>
      <c r="L1895" s="653"/>
      <c r="M1895" s="24"/>
      <c r="N1895" s="25"/>
      <c r="O1895" s="195"/>
    </row>
    <row r="1896" spans="1:17" ht="15.95" customHeight="1" x14ac:dyDescent="0.25">
      <c r="A1896" s="121"/>
      <c r="B1896" s="23"/>
      <c r="C1896" s="59" t="s">
        <v>33</v>
      </c>
      <c r="D1896" s="658"/>
      <c r="E1896" s="659"/>
      <c r="F1896" s="483"/>
      <c r="G1896" s="484"/>
      <c r="H1896" s="81" t="s">
        <v>0</v>
      </c>
      <c r="I1896" s="82" t="s">
        <v>2</v>
      </c>
      <c r="J1896" s="82" t="s">
        <v>3</v>
      </c>
      <c r="K1896" s="82" t="s">
        <v>4</v>
      </c>
      <c r="L1896" s="83" t="s">
        <v>5</v>
      </c>
      <c r="M1896" s="82" t="s">
        <v>44</v>
      </c>
      <c r="N1896" s="25"/>
      <c r="O1896" s="194" t="str">
        <f>+D2051</f>
        <v>ON Pyme CNV Garantizada</v>
      </c>
    </row>
    <row r="1897" spans="1:17" ht="15.95" customHeight="1" x14ac:dyDescent="0.25">
      <c r="A1897" s="121"/>
      <c r="B1897" s="23"/>
      <c r="C1897" s="59" t="s">
        <v>34</v>
      </c>
      <c r="D1897" s="658" t="s">
        <v>48</v>
      </c>
      <c r="E1897" s="659"/>
      <c r="F1897" s="483"/>
      <c r="G1897" s="484"/>
      <c r="H1897" s="45"/>
      <c r="I1897" s="46"/>
      <c r="J1897" s="46"/>
      <c r="K1897" s="46"/>
      <c r="L1897" s="47"/>
      <c r="M1897" s="23"/>
      <c r="N1897" s="25"/>
      <c r="O1897" s="195"/>
    </row>
    <row r="1898" spans="1:17" ht="20.100000000000001" customHeight="1" x14ac:dyDescent="0.25">
      <c r="A1898" s="121"/>
      <c r="B1898" s="23"/>
      <c r="C1898" s="79" t="s">
        <v>38</v>
      </c>
      <c r="D1898" s="75"/>
      <c r="E1898" s="76"/>
      <c r="F1898" s="483"/>
      <c r="G1898" s="484"/>
      <c r="H1898" s="48">
        <f>+$D$1907</f>
        <v>44004</v>
      </c>
      <c r="I1898" s="70"/>
      <c r="J1898" s="49"/>
      <c r="K1898" s="49"/>
      <c r="L1898" s="50">
        <f>+D1909</f>
        <v>100000000</v>
      </c>
      <c r="M1898" s="93">
        <f>-L1898</f>
        <v>-100000000</v>
      </c>
      <c r="N1898" s="25"/>
      <c r="O1898" s="194" t="str">
        <f>+IF(J2049="vencida",IF(D2051='Reporte - Oscuro'!$C$40,'Reporte - Oscuro'!$C$40&amp;" vencida",IF(D2051='Reporte - Oscuro'!$C$41,'Reporte - Oscuro'!$C$41&amp;" vencida",IF(D2051='Reporte - Oscuro'!$C$42,'Reporte - Oscuro'!$C$42&amp;" vencida",'Reporte - Oscuro'!$C$43&amp;" vencida"))),D2051&amp;" vigente")</f>
        <v>ON Pyme CNV Garantizada vencida</v>
      </c>
    </row>
    <row r="1899" spans="1:17" ht="15.95" customHeight="1" x14ac:dyDescent="0.25">
      <c r="A1899" s="121"/>
      <c r="B1899" s="23"/>
      <c r="C1899" s="59"/>
      <c r="D1899" s="73"/>
      <c r="E1899" s="74"/>
      <c r="F1899" s="483"/>
      <c r="G1899" s="484"/>
      <c r="H1899" s="51">
        <f>IF(DAY(H1898)=DAY($H$1898),IF(WEEKDAY(EDATE(H1898,$D$1910),3)&lt;5,EDATE(H1898,$D$1910),WORKDAY(EDATE(H1898,$D$1910),1)),IF(WEEKDAY(EDATE($H$1898,$D$1910*COUNT($H$1898:H1898)),3)&lt;5,EDATE($H$1898,$D$1910*COUNT($H$1898:H1898)),WORKDAY(EDATE($H$1898,$D$1910*COUNT($H$1898:H1898)),1)))</f>
        <v>44218</v>
      </c>
      <c r="I1899" s="71" t="s">
        <v>13</v>
      </c>
      <c r="J1899" s="52">
        <f>(IF(AND($D$1914&lt;&gt;"",$D$1914&gt;(AVERAGE(VLOOKUP(WORKDAY.INTL(H1899,-7,1,),'Tasas-TC'!A:B,2,FALSE),VLOOKUP(WORKDAY.INTL(H1898,-7,1,),'Tasas-TC'!A:B,2,FALSE))+$D$1913)),$D$1914,IF(AND($D$1915&lt;&gt;"",$D$1915&lt;(AVERAGE(VLOOKUP(WORKDAY.INTL(H1899,-7,1,),'Tasas-TC'!A:B,2,FALSE),VLOOKUP(WORKDAY.INTL(H1898,-7,1,),'Tasas-TC'!A:B,2,FALSE))+$D$1913)),$D$1915,(AVERAGE(VLOOKUP(WORKDAY.INTL(H1899,-7,1,),'Tasas-TC'!A:B,2,FALSE),VLOOKUP(WORKDAY.INTL(H1898,-7,1,),'Tasas-TC'!A:B,2,FALSE))+$D$1913)))/360)*(H1899-H1898)*L1898</f>
        <v>21747006.944444444</v>
      </c>
      <c r="K1899" s="52">
        <f t="shared" ref="K1899:K1904" si="187">+IF(OR(I1899="A + C",I1899="A"),$D$1909*$D$1916,0)</f>
        <v>16666666.666666668</v>
      </c>
      <c r="L1899" s="53">
        <f t="shared" ref="L1899:L1904" si="188">+L1898-K1899</f>
        <v>83333333.333333328</v>
      </c>
      <c r="M1899" s="94">
        <f t="shared" ref="M1899:M1904" si="189">+J1899+K1899</f>
        <v>38413673.611111112</v>
      </c>
      <c r="N1899" s="25"/>
      <c r="O1899" s="195"/>
    </row>
    <row r="1900" spans="1:17" ht="15.95" customHeight="1" x14ac:dyDescent="0.25">
      <c r="A1900" s="121"/>
      <c r="B1900" s="23"/>
      <c r="C1900" s="60"/>
      <c r="D1900" s="77"/>
      <c r="E1900" s="78"/>
      <c r="F1900" s="483"/>
      <c r="G1900" s="484"/>
      <c r="H1900" s="51">
        <f>IF(DAY(H1899)=DAY($H$1898),IF(WEEKDAY(EDATE(H1899,$D$1911),3)&lt;5,EDATE(H1899,$D$1911),WORKDAY(EDATE(H1899,$D$1911),1)),IF(WEEKDAY(EDATE($H$1898,$D$1911*COUNT($H$1898:H1899)),3)&lt;5,EDATE($H$1898,$D$1911*COUNT($H$1898:H1899)),WORKDAY(EDATE($H$1898,$D$1911*COUNT($H$1898:H1899)),1)))</f>
        <v>44249</v>
      </c>
      <c r="I1900" s="71" t="s">
        <v>13</v>
      </c>
      <c r="J1900" s="52">
        <f>(IF(AND($D$1914&lt;&gt;"",$D$1914&gt;(AVERAGE(VLOOKUP(WORKDAY.INTL(H1900,-7,1,),'Tasas-TC'!A:B,2,FALSE),VLOOKUP(WORKDAY.INTL(H1899,-7,1,),'Tasas-TC'!A:B,2,FALSE))+$D$1913)),$D$1914,IF(AND($D$1915&lt;&gt;"",$D$1915&lt;(AVERAGE(VLOOKUP(WORKDAY.INTL(H1900,-7,1,),'Tasas-TC'!A:B,2,FALSE),VLOOKUP(WORKDAY.INTL(H1899,-7,1,),'Tasas-TC'!A:B,2,FALSE))+$D$1913)),$D$1915,(AVERAGE(VLOOKUP(WORKDAY.INTL(H1900,-7,1,),'Tasas-TC'!A:B,2,FALSE),VLOOKUP(WORKDAY.INTL(H1899,-7,1,),'Tasas-TC'!A:B,2,FALSE))+$D$1913)))/360)*(H1900-H1899)*L1899</f>
        <v>2802378.472222222</v>
      </c>
      <c r="K1900" s="52">
        <f t="shared" si="187"/>
        <v>16666666.666666668</v>
      </c>
      <c r="L1900" s="53">
        <f t="shared" si="188"/>
        <v>66666666.666666657</v>
      </c>
      <c r="M1900" s="94">
        <f t="shared" si="189"/>
        <v>19469045.138888888</v>
      </c>
      <c r="N1900" s="25"/>
      <c r="O1900" s="195"/>
    </row>
    <row r="1901" spans="1:17" ht="15.95" customHeight="1" x14ac:dyDescent="0.25">
      <c r="A1901" s="121"/>
      <c r="B1901" s="23"/>
      <c r="C1901" s="60"/>
      <c r="D1901" s="55" t="str">
        <f>+B1889</f>
        <v>Rogiro Aceros I</v>
      </c>
      <c r="E1901" s="64"/>
      <c r="F1901" s="483"/>
      <c r="G1901" s="484">
        <f>+J1891</f>
        <v>0</v>
      </c>
      <c r="H1901" s="51">
        <f>IF(DAY(H1900)=DAY($H$1898),IF(WEEKDAY(EDATE(H1900,$D$1911),3)&lt;5,EDATE(H1900,$D$1911),WORKDAY(EDATE(H1900,$D$1911),1)),IF(WEEKDAY(EDATE($H$1898,$D$1911*COUNT($H$1898:H1900)),3)&lt;5,EDATE($H$1898,$D$1911*COUNT($H$1898:H1900)),WORKDAY(EDATE($H$1898,$D$1911*COUNT($H$1898:H1900)),1)))</f>
        <v>44277</v>
      </c>
      <c r="I1901" s="71" t="s">
        <v>13</v>
      </c>
      <c r="J1901" s="52">
        <f>(IF(AND($D$1914&lt;&gt;"",$D$1914&gt;(AVERAGE(VLOOKUP(WORKDAY.INTL(H1901,-7,1,),'Tasas-TC'!A:B,2,FALSE),VLOOKUP(WORKDAY.INTL(H1900,-7,1,),'Tasas-TC'!A:B,2,FALSE))+$D$1913)),$D$1914,IF(AND($D$1915&lt;&gt;"",$D$1915&lt;(AVERAGE(VLOOKUP(WORKDAY.INTL(H1901,-7,1,),'Tasas-TC'!A:B,2,FALSE),VLOOKUP(WORKDAY.INTL(H1900,-7,1,),'Tasas-TC'!A:B,2,FALSE))+$D$1913)),$D$1915,(AVERAGE(VLOOKUP(WORKDAY.INTL(H1901,-7,1,),'Tasas-TC'!A:B,2,FALSE),VLOOKUP(WORKDAY.INTL(H1900,-7,1,),'Tasas-TC'!A:B,2,FALSE))+$D$1913)))/360)*(H1901-H1900)*L1900</f>
        <v>2029805.555555555</v>
      </c>
      <c r="K1901" s="52">
        <f t="shared" si="187"/>
        <v>16666666.666666668</v>
      </c>
      <c r="L1901" s="53">
        <f t="shared" si="188"/>
        <v>49999999.999999985</v>
      </c>
      <c r="M1901" s="94">
        <f t="shared" si="189"/>
        <v>18696472.222222224</v>
      </c>
      <c r="N1901" s="25"/>
      <c r="O1901" s="195"/>
    </row>
    <row r="1902" spans="1:17" ht="15.95" customHeight="1" x14ac:dyDescent="0.25">
      <c r="A1902" s="121"/>
      <c r="B1902" s="32"/>
      <c r="D1902" s="644"/>
      <c r="E1902" s="660"/>
      <c r="F1902" s="483"/>
      <c r="G1902" s="484"/>
      <c r="H1902" s="51">
        <f>IF(DAY(H1901)=DAY($H$1898),IF(WEEKDAY(EDATE(H1901,$D$1911),3)&lt;5,EDATE(H1901,$D$1911),WORKDAY(EDATE(H1901,$D$1911),1)),IF(WEEKDAY(EDATE($H$1898,$D$1911*COUNT($H$1898:H1901)),3)&lt;5,EDATE($H$1898,$D$1911*COUNT($H$1898:H1901)),WORKDAY(EDATE($H$1898,$D$1911*COUNT($H$1898:H1901)),1)))</f>
        <v>44308</v>
      </c>
      <c r="I1902" s="71" t="s">
        <v>13</v>
      </c>
      <c r="J1902" s="52">
        <f>(IF(AND($D$1914&lt;&gt;"",$D$1914&gt;(AVERAGE(VLOOKUP(WORKDAY.INTL(H1902,-7,1,),'Tasas-TC'!A:B,2,FALSE),VLOOKUP(WORKDAY.INTL(H1901,-7,1,),'Tasas-TC'!A:B,2,FALSE))+$D$1913)),$D$1914,IF(AND($D$1915&lt;&gt;"",$D$1915&lt;(AVERAGE(VLOOKUP(WORKDAY.INTL(H1902,-7,1,),'Tasas-TC'!A:B,2,FALSE),VLOOKUP(WORKDAY.INTL(H1901,-7,1,),'Tasas-TC'!A:B,2,FALSE))+$D$1913)),$D$1915,(AVERAGE(VLOOKUP(WORKDAY.INTL(H1902,-7,1,),'Tasas-TC'!A:B,2,FALSE),VLOOKUP(WORKDAY.INTL(H1901,-7,1,),'Tasas-TC'!A:B,2,FALSE))+$D$1913)))/360)*(H1902-H1901)*L1901</f>
        <v>1686809.0277777771</v>
      </c>
      <c r="K1902" s="52">
        <f t="shared" si="187"/>
        <v>16666666.666666668</v>
      </c>
      <c r="L1902" s="53">
        <f t="shared" si="188"/>
        <v>33333333.333333317</v>
      </c>
      <c r="M1902" s="94">
        <f t="shared" si="189"/>
        <v>18353475.694444444</v>
      </c>
      <c r="N1902" s="25"/>
      <c r="O1902" s="195"/>
    </row>
    <row r="1903" spans="1:17" ht="15.95" customHeight="1" x14ac:dyDescent="0.25">
      <c r="A1903" s="121"/>
      <c r="B1903" s="23"/>
      <c r="C1903" s="638" t="s">
        <v>36</v>
      </c>
      <c r="D1903" s="640"/>
      <c r="E1903" s="36"/>
      <c r="F1903" s="483"/>
      <c r="G1903" s="484"/>
      <c r="H1903" s="51">
        <f>IF(DAY(H1902)=DAY($H$1898),IF(WEEKDAY(EDATE(H1902,$D$1911),3)&lt;5,EDATE(H1902,$D$1911),WORKDAY(EDATE(H1902,$D$1911),1)),IF(WEEKDAY(EDATE($H$1898,$D$1911*COUNT($H$1898:H1902)),3)&lt;5,EDATE($H$1898,$D$1911*COUNT($H$1898:H1902)),WORKDAY(EDATE($H$1898,$D$1911*COUNT($H$1898:H1902)),1)))</f>
        <v>44340</v>
      </c>
      <c r="I1903" s="71" t="s">
        <v>13</v>
      </c>
      <c r="J1903" s="52">
        <f>(IF(AND($D$1914&lt;&gt;"",$D$1914&gt;(AVERAGE(VLOOKUP(WORKDAY.INTL(H1903,-7,1,),'Tasas-TC'!A:B,2,FALSE),VLOOKUP(WORKDAY.INTL(H1902,-7,1,),'Tasas-TC'!A:B,2,FALSE))+$D$1913)),$D$1914,IF(AND($D$1915&lt;&gt;"",$D$1915&lt;(AVERAGE(VLOOKUP(WORKDAY.INTL(H1903,-7,1,),'Tasas-TC'!A:B,2,FALSE),VLOOKUP(WORKDAY.INTL(H1902,-7,1,),'Tasas-TC'!A:B,2,FALSE))+$D$1913)),$D$1915,(AVERAGE(VLOOKUP(WORKDAY.INTL(H1903,-7,1,),'Tasas-TC'!A:B,2,FALSE),VLOOKUP(WORKDAY.INTL(H1902,-7,1,),'Tasas-TC'!A:B,2,FALSE))+$D$1913)))/360)*(H1903-H1902)*L1902</f>
        <v>1160814.8148148141</v>
      </c>
      <c r="K1903" s="52">
        <f t="shared" si="187"/>
        <v>16666666.666666668</v>
      </c>
      <c r="L1903" s="53">
        <f t="shared" si="188"/>
        <v>16666666.666666649</v>
      </c>
      <c r="M1903" s="94">
        <f t="shared" si="189"/>
        <v>17827481.481481481</v>
      </c>
      <c r="N1903" s="25"/>
      <c r="O1903" s="197">
        <f>+M2054</f>
        <v>-2000000</v>
      </c>
      <c r="P1903" s="197">
        <f>-M2054</f>
        <v>2000000</v>
      </c>
      <c r="Q1903" s="197"/>
    </row>
    <row r="1904" spans="1:17" ht="15.95" customHeight="1" x14ac:dyDescent="0.25">
      <c r="A1904" s="121"/>
      <c r="B1904" s="23"/>
      <c r="C1904" s="59"/>
      <c r="D1904" s="62"/>
      <c r="E1904" s="36"/>
      <c r="F1904" s="483"/>
      <c r="G1904" s="484"/>
      <c r="H1904" s="51">
        <f>IF(DAY(H1903)=DAY($H$1898),IF(WEEKDAY(EDATE(H1903,$D$1911),3)&lt;5,EDATE(H1903,$D$1911),WORKDAY(EDATE(H1903,$D$1911),1)),IF(WEEKDAY(EDATE($H$1898,$D$1911*COUNT($H$1898:H1903)),3)&lt;5,EDATE($H$1898,$D$1911*(COUNT($H$1898:H1903)+D1910-1)),WORKDAY(EDATE($H$1898,$D$1911*COUNT($H$1898:H1903)),1)))</f>
        <v>44369</v>
      </c>
      <c r="I1904" s="71" t="s">
        <v>13</v>
      </c>
      <c r="J1904" s="52">
        <f>(IF(AND($D$1914&lt;&gt;"",$D$1914&gt;(AVERAGE(VLOOKUP(WORKDAY.INTL(H1904,-7,1,),'Tasas-TC'!A:B,2,FALSE),VLOOKUP(WORKDAY.INTL(H1903,-7,1,),'Tasas-TC'!A:B,2,FALSE))+$D$1913)),$D$1914,IF(AND($D$1915&lt;&gt;"",$D$1915&lt;(AVERAGE(VLOOKUP(WORKDAY.INTL(H1904,-7,1,),'Tasas-TC'!A:B,2,FALSE),VLOOKUP(WORKDAY.INTL(H1903,-7,1,),'Tasas-TC'!A:B,2,FALSE))+$D$1913)),$D$1915,(AVERAGE(VLOOKUP(WORKDAY.INTL(H1904,-7,1,),'Tasas-TC'!A:B,2,FALSE),VLOOKUP(WORKDAY.INTL(H1903,-7,1,),'Tasas-TC'!A:B,2,FALSE))+$D$1913)))/360)*(H1904-H1903)*L1903</f>
        <v>525574.65277777717</v>
      </c>
      <c r="K1904" s="52">
        <f t="shared" si="187"/>
        <v>16666666.666666668</v>
      </c>
      <c r="L1904" s="53">
        <f t="shared" si="188"/>
        <v>-1.862645149230957E-8</v>
      </c>
      <c r="M1904" s="94">
        <f t="shared" si="189"/>
        <v>17192241.319444444</v>
      </c>
      <c r="N1904" s="25"/>
      <c r="O1904" s="197">
        <f t="shared" ref="O1904:O1911" si="190">+M2055+O1903</f>
        <v>-1459187.5</v>
      </c>
      <c r="P1904" s="197">
        <f t="shared" ref="P1904:P1911" si="191">+(M2055/(1+$J$2066)^((H2055-$H$2054)/365))/$P$1903</f>
        <v>0.27040625000000001</v>
      </c>
      <c r="Q1904" s="197">
        <f t="shared" ref="Q1904:Q1911" si="192">+P1904*((H2055-$H$2054)/365)</f>
        <v>6.9638869863013708E-2</v>
      </c>
    </row>
    <row r="1905" spans="1:17" ht="15.95" customHeight="1" x14ac:dyDescent="0.25">
      <c r="A1905" s="121"/>
      <c r="B1905" s="23"/>
      <c r="C1905" s="59" t="s">
        <v>9</v>
      </c>
      <c r="D1905" s="98" t="s">
        <v>18</v>
      </c>
      <c r="E1905" s="36"/>
      <c r="F1905" s="483"/>
      <c r="G1905" s="484"/>
      <c r="H1905" s="54"/>
      <c r="I1905" s="61"/>
      <c r="J1905" s="55"/>
      <c r="K1905" s="56"/>
      <c r="L1905" s="57"/>
      <c r="M1905" s="95"/>
      <c r="N1905" s="25"/>
      <c r="O1905" s="197">
        <f t="shared" si="190"/>
        <v>-977772.78645833337</v>
      </c>
      <c r="P1905" s="197">
        <f t="shared" si="191"/>
        <v>0.24070735677083333</v>
      </c>
      <c r="Q1905" s="197">
        <f t="shared" si="192"/>
        <v>0.1193644700699201</v>
      </c>
    </row>
    <row r="1906" spans="1:17" ht="15.95" customHeight="1" x14ac:dyDescent="0.25">
      <c r="A1906" s="121"/>
      <c r="B1906" s="23"/>
      <c r="C1906" s="59" t="s">
        <v>10</v>
      </c>
      <c r="D1906" s="65">
        <v>43999</v>
      </c>
      <c r="E1906" s="36"/>
      <c r="F1906" s="483"/>
      <c r="G1906" s="484"/>
      <c r="H1906" s="24"/>
      <c r="I1906" s="24"/>
      <c r="J1906" s="24"/>
      <c r="K1906" s="24"/>
      <c r="L1906" s="24"/>
      <c r="M1906" s="24"/>
      <c r="N1906" s="25"/>
      <c r="O1906" s="197">
        <f t="shared" si="190"/>
        <v>-510830.078125</v>
      </c>
      <c r="P1906" s="197">
        <f t="shared" si="191"/>
        <v>0.23347135416666667</v>
      </c>
      <c r="Q1906" s="197">
        <f t="shared" si="192"/>
        <v>0.17462377996575343</v>
      </c>
    </row>
    <row r="1907" spans="1:17" ht="15.95" customHeight="1" x14ac:dyDescent="0.25">
      <c r="A1907" s="121"/>
      <c r="B1907" s="23"/>
      <c r="C1907" s="59" t="s">
        <v>11</v>
      </c>
      <c r="D1907" s="65">
        <v>44004</v>
      </c>
      <c r="E1907" s="36"/>
      <c r="F1907" s="483"/>
      <c r="G1907" s="484"/>
      <c r="H1907" s="656" t="s">
        <v>43</v>
      </c>
      <c r="I1907" s="656"/>
      <c r="J1907" s="92">
        <v>0</v>
      </c>
      <c r="K1907" s="92"/>
      <c r="L1907" s="24"/>
      <c r="M1907" s="24"/>
      <c r="N1907" s="25"/>
      <c r="O1907" s="197">
        <f t="shared" si="190"/>
        <v>-69790.581597222248</v>
      </c>
      <c r="P1907" s="197">
        <f t="shared" si="191"/>
        <v>0.22051974826388887</v>
      </c>
      <c r="Q1907" s="197">
        <f t="shared" si="192"/>
        <v>0.22172807565163621</v>
      </c>
    </row>
    <row r="1908" spans="1:17" ht="15.95" customHeight="1" x14ac:dyDescent="0.25">
      <c r="A1908" s="121"/>
      <c r="B1908" s="23"/>
      <c r="C1908" s="59" t="s">
        <v>12</v>
      </c>
      <c r="D1908" s="65">
        <v>44369</v>
      </c>
      <c r="E1908" s="36"/>
      <c r="F1908" s="483"/>
      <c r="G1908" s="484"/>
      <c r="H1908" s="24"/>
      <c r="I1908" s="24"/>
      <c r="J1908" s="24"/>
      <c r="K1908" s="24"/>
      <c r="L1908" s="33"/>
      <c r="M1908" s="33"/>
      <c r="N1908" s="25"/>
      <c r="O1908" s="197">
        <f t="shared" si="190"/>
        <v>309758.02951388888</v>
      </c>
      <c r="P1908" s="197">
        <f t="shared" si="191"/>
        <v>0.18977430555555555</v>
      </c>
      <c r="Q1908" s="197">
        <f t="shared" si="192"/>
        <v>0.23812775875190256</v>
      </c>
    </row>
    <row r="1909" spans="1:17" ht="15.95" customHeight="1" x14ac:dyDescent="0.25">
      <c r="A1909" s="121"/>
      <c r="B1909" s="23"/>
      <c r="C1909" s="59" t="s">
        <v>27</v>
      </c>
      <c r="D1909" s="66">
        <v>100000000</v>
      </c>
      <c r="E1909" s="41"/>
      <c r="F1909" s="480"/>
      <c r="G1909" s="484"/>
      <c r="H1909" s="24"/>
      <c r="I1909" s="24"/>
      <c r="J1909" s="24"/>
      <c r="K1909" s="24"/>
      <c r="L1909" s="24"/>
      <c r="M1909" s="24"/>
      <c r="N1909" s="25"/>
      <c r="O1909" s="197">
        <f t="shared" si="190"/>
        <v>631029.51388888888</v>
      </c>
      <c r="P1909" s="197">
        <f t="shared" si="191"/>
        <v>0.16063574218750001</v>
      </c>
      <c r="Q1909" s="197">
        <f t="shared" si="192"/>
        <v>0.24161376016695207</v>
      </c>
    </row>
    <row r="1910" spans="1:17" ht="15.95" customHeight="1" x14ac:dyDescent="0.25">
      <c r="A1910" s="121"/>
      <c r="B1910" s="23"/>
      <c r="C1910" s="59" t="s">
        <v>349</v>
      </c>
      <c r="D1910" s="66">
        <v>7</v>
      </c>
      <c r="E1910" s="41"/>
      <c r="F1910" s="480"/>
      <c r="G1910" s="485"/>
      <c r="H1910" s="24"/>
      <c r="I1910" s="24"/>
      <c r="J1910" s="24"/>
      <c r="K1910" s="24"/>
      <c r="L1910" s="24"/>
      <c r="M1910" s="24"/>
      <c r="N1910" s="25"/>
      <c r="O1910" s="197">
        <f t="shared" si="190"/>
        <v>923211.8055555555</v>
      </c>
      <c r="P1910" s="197">
        <f t="shared" si="191"/>
        <v>0.14609114583333335</v>
      </c>
      <c r="Q1910" s="197">
        <f t="shared" si="192"/>
        <v>0.25615981735159821</v>
      </c>
    </row>
    <row r="1911" spans="1:17" ht="15.95" customHeight="1" x14ac:dyDescent="0.25">
      <c r="A1911" s="121"/>
      <c r="B1911" s="23"/>
      <c r="C1911" s="59" t="s">
        <v>26</v>
      </c>
      <c r="D1911" s="66">
        <v>1</v>
      </c>
      <c r="E1911" s="36"/>
      <c r="F1911" s="480"/>
      <c r="G1911" s="485"/>
      <c r="H1911" s="638" t="s">
        <v>44</v>
      </c>
      <c r="I1911" s="639"/>
      <c r="J1911" s="639"/>
      <c r="K1911" s="639"/>
      <c r="L1911" s="639"/>
      <c r="M1911" s="640"/>
      <c r="N1911" s="25"/>
      <c r="O1911" s="197">
        <f t="shared" si="190"/>
        <v>1194302.9513888888</v>
      </c>
      <c r="P1911" s="197">
        <f t="shared" si="191"/>
        <v>0.13554557291666666</v>
      </c>
      <c r="Q1911" s="197">
        <f t="shared" si="192"/>
        <v>0.27146250356735158</v>
      </c>
    </row>
    <row r="1912" spans="1:17" ht="15.95" customHeight="1" x14ac:dyDescent="0.25">
      <c r="A1912" s="121"/>
      <c r="B1912" s="23"/>
      <c r="C1912" s="59" t="s">
        <v>19</v>
      </c>
      <c r="D1912" s="67" t="s">
        <v>20</v>
      </c>
      <c r="E1912" s="43"/>
      <c r="F1912" s="480"/>
      <c r="G1912" s="485"/>
      <c r="H1912" s="23"/>
      <c r="I1912" s="24"/>
      <c r="J1912" s="24"/>
      <c r="K1912" s="24"/>
      <c r="L1912" s="24"/>
      <c r="M1912" s="25"/>
      <c r="N1912" s="25"/>
      <c r="O1912" s="197"/>
      <c r="P1912" s="29"/>
    </row>
    <row r="1913" spans="1:17" ht="15.95" customHeight="1" x14ac:dyDescent="0.25">
      <c r="A1913" s="121"/>
      <c r="B1913" s="23"/>
      <c r="C1913" s="59" t="s">
        <v>14</v>
      </c>
      <c r="D1913" s="68">
        <v>4.99E-2</v>
      </c>
      <c r="E1913" s="43"/>
      <c r="F1913" s="480"/>
      <c r="G1913" s="485"/>
      <c r="H1913" s="23"/>
      <c r="I1913" s="24"/>
      <c r="J1913" s="24"/>
      <c r="K1913" s="24"/>
      <c r="L1913" s="24"/>
      <c r="M1913" s="25"/>
      <c r="N1913" s="25"/>
      <c r="O1913" s="197"/>
    </row>
    <row r="1914" spans="1:17" ht="15.95" customHeight="1" x14ac:dyDescent="0.25">
      <c r="A1914" s="121"/>
      <c r="B1914" s="23"/>
      <c r="C1914" s="59" t="s">
        <v>31</v>
      </c>
      <c r="D1914" s="68">
        <v>0</v>
      </c>
      <c r="E1914" s="43"/>
      <c r="F1914" s="480"/>
      <c r="G1914" s="485"/>
      <c r="H1914" s="96"/>
      <c r="I1914" s="35"/>
      <c r="J1914" s="24"/>
      <c r="K1914" s="24"/>
      <c r="L1914" s="24"/>
      <c r="M1914" s="25"/>
      <c r="N1914" s="25"/>
      <c r="O1914" s="197"/>
      <c r="P1914" s="37"/>
    </row>
    <row r="1915" spans="1:17" ht="15.95" customHeight="1" x14ac:dyDescent="0.25">
      <c r="A1915" s="121"/>
      <c r="B1915" s="23"/>
      <c r="C1915" s="59" t="s">
        <v>32</v>
      </c>
      <c r="D1915" s="68"/>
      <c r="E1915" s="44"/>
      <c r="F1915" s="480"/>
      <c r="G1915" s="485"/>
      <c r="H1915" s="23"/>
      <c r="I1915" s="24"/>
      <c r="J1915" s="24"/>
      <c r="K1915" s="24"/>
      <c r="L1915" s="24"/>
      <c r="M1915" s="25"/>
      <c r="N1915" s="25"/>
      <c r="O1915" s="197"/>
    </row>
    <row r="1916" spans="1:17" ht="15.95" customHeight="1" x14ac:dyDescent="0.25">
      <c r="A1916" s="121"/>
      <c r="B1916" s="23"/>
      <c r="C1916" s="59" t="s">
        <v>58</v>
      </c>
      <c r="D1916" s="68">
        <v>0.16666666666666669</v>
      </c>
      <c r="E1916" s="24"/>
      <c r="F1916" s="480"/>
      <c r="G1916" s="485"/>
      <c r="H1916" s="23"/>
      <c r="I1916" s="24"/>
      <c r="J1916" s="24"/>
      <c r="K1916" s="24"/>
      <c r="L1916" s="24"/>
      <c r="M1916" s="25"/>
      <c r="N1916" s="25"/>
      <c r="O1916" s="195"/>
    </row>
    <row r="1917" spans="1:17" ht="15.95" customHeight="1" x14ac:dyDescent="0.25">
      <c r="A1917" s="121"/>
      <c r="B1917" s="23"/>
      <c r="C1917" s="63"/>
      <c r="D1917" s="64"/>
      <c r="E1917" s="24"/>
      <c r="F1917" s="480"/>
      <c r="G1917" s="485"/>
      <c r="H1917" s="23"/>
      <c r="I1917" s="24"/>
      <c r="J1917" s="24"/>
      <c r="K1917" s="24"/>
      <c r="L1917" s="24"/>
      <c r="M1917" s="25"/>
      <c r="N1917" s="25"/>
      <c r="O1917" s="195"/>
    </row>
    <row r="1918" spans="1:17" ht="15.95" customHeight="1" x14ac:dyDescent="0.25">
      <c r="A1918" s="121"/>
      <c r="B1918" s="23"/>
      <c r="C1918" s="24"/>
      <c r="D1918" s="24"/>
      <c r="E1918" s="24"/>
      <c r="F1918" s="480"/>
      <c r="G1918" s="485"/>
      <c r="H1918" s="23"/>
      <c r="I1918" s="24"/>
      <c r="J1918" s="24"/>
      <c r="K1918" s="24"/>
      <c r="L1918" s="24"/>
      <c r="M1918" s="25"/>
      <c r="N1918" s="25"/>
      <c r="O1918" s="195"/>
    </row>
    <row r="1919" spans="1:17" ht="15.95" customHeight="1" x14ac:dyDescent="0.25">
      <c r="A1919" s="121"/>
      <c r="B1919" s="23"/>
      <c r="C1919" s="24"/>
      <c r="D1919" s="24"/>
      <c r="E1919" s="24"/>
      <c r="F1919" s="480"/>
      <c r="G1919" s="485"/>
      <c r="H1919" s="23"/>
      <c r="I1919" s="24"/>
      <c r="J1919" s="24"/>
      <c r="K1919" s="24"/>
      <c r="L1919" s="24"/>
      <c r="M1919" s="25"/>
      <c r="N1919" s="25"/>
      <c r="O1919" s="195"/>
    </row>
    <row r="1920" spans="1:17" ht="15.95" customHeight="1" x14ac:dyDescent="0.25">
      <c r="A1920" s="121"/>
      <c r="B1920" s="23"/>
      <c r="C1920" s="24"/>
      <c r="D1920" s="24"/>
      <c r="E1920" s="24"/>
      <c r="F1920" s="480"/>
      <c r="G1920" s="485"/>
      <c r="H1920" s="23"/>
      <c r="I1920" s="24"/>
      <c r="J1920" s="24"/>
      <c r="K1920" s="24"/>
      <c r="L1920" s="24"/>
      <c r="M1920" s="25"/>
      <c r="N1920" s="25"/>
      <c r="O1920" s="195"/>
    </row>
    <row r="1921" spans="1:15" ht="15.95" customHeight="1" x14ac:dyDescent="0.25">
      <c r="A1921" s="121"/>
      <c r="B1921" s="23"/>
      <c r="C1921" s="24"/>
      <c r="D1921" s="24"/>
      <c r="E1921" s="24"/>
      <c r="F1921" s="480"/>
      <c r="G1921" s="485"/>
      <c r="H1921" s="23"/>
      <c r="I1921" s="24"/>
      <c r="J1921" s="24"/>
      <c r="K1921" s="24"/>
      <c r="L1921" s="24"/>
      <c r="M1921" s="25"/>
      <c r="N1921" s="25"/>
      <c r="O1921" s="195"/>
    </row>
    <row r="1922" spans="1:15" ht="15.95" customHeight="1" x14ac:dyDescent="0.25">
      <c r="A1922" s="121"/>
      <c r="B1922" s="23"/>
      <c r="C1922" s="24"/>
      <c r="D1922" s="24"/>
      <c r="E1922" s="24"/>
      <c r="F1922" s="480"/>
      <c r="G1922" s="485"/>
      <c r="H1922" s="23"/>
      <c r="I1922" s="24"/>
      <c r="J1922" s="24"/>
      <c r="K1922" s="24"/>
      <c r="L1922" s="24"/>
      <c r="M1922" s="25"/>
      <c r="N1922" s="25"/>
      <c r="O1922" s="195"/>
    </row>
    <row r="1923" spans="1:15" ht="15.95" customHeight="1" x14ac:dyDescent="0.25">
      <c r="A1923" s="121"/>
      <c r="B1923" s="23"/>
      <c r="C1923" s="24"/>
      <c r="D1923" s="24"/>
      <c r="E1923" s="24"/>
      <c r="F1923" s="480"/>
      <c r="G1923" s="485"/>
      <c r="H1923" s="26"/>
      <c r="I1923" s="27"/>
      <c r="J1923" s="27"/>
      <c r="K1923" s="27"/>
      <c r="L1923" s="27"/>
      <c r="M1923" s="28"/>
      <c r="N1923" s="25"/>
      <c r="O1923" s="195"/>
    </row>
    <row r="1924" spans="1:15" ht="15.95" customHeight="1" x14ac:dyDescent="0.25">
      <c r="A1924" s="121"/>
      <c r="B1924" s="26"/>
      <c r="C1924" s="27"/>
      <c r="D1924" s="27"/>
      <c r="E1924" s="27"/>
      <c r="F1924" s="481"/>
      <c r="G1924" s="486"/>
      <c r="H1924" s="27"/>
      <c r="I1924" s="27"/>
      <c r="J1924" s="27"/>
      <c r="K1924" s="27"/>
      <c r="L1924" s="27"/>
      <c r="M1924" s="27"/>
      <c r="N1924" s="28"/>
      <c r="O1924" s="195"/>
    </row>
    <row r="1925" spans="1:15" ht="15.95" customHeight="1" x14ac:dyDescent="0.25">
      <c r="A1925" s="122" t="s">
        <v>133</v>
      </c>
      <c r="B1925" s="661" t="s">
        <v>174</v>
      </c>
      <c r="C1925" s="662"/>
      <c r="D1925" s="662"/>
      <c r="E1925" s="662"/>
      <c r="F1925" s="662"/>
      <c r="G1925" s="662"/>
      <c r="H1925" s="662"/>
      <c r="I1925" s="662"/>
      <c r="J1925" s="662"/>
      <c r="K1925" s="662"/>
      <c r="L1925" s="662"/>
      <c r="M1925" s="662"/>
      <c r="N1925" s="663"/>
      <c r="O1925" s="195"/>
    </row>
    <row r="1926" spans="1:15" ht="15.95" customHeight="1" x14ac:dyDescent="0.25">
      <c r="A1926" s="121"/>
      <c r="B1926" s="23"/>
      <c r="C1926" s="24"/>
      <c r="D1926" s="24"/>
      <c r="E1926" s="24"/>
      <c r="F1926" s="483"/>
      <c r="G1926" s="484"/>
      <c r="H1926" s="31"/>
      <c r="I1926" s="31"/>
      <c r="J1926" s="24"/>
      <c r="K1926" s="24"/>
      <c r="L1926" s="24"/>
      <c r="M1926" s="24"/>
      <c r="N1926" s="25"/>
      <c r="O1926" s="195"/>
    </row>
    <row r="1927" spans="1:15" ht="15.95" customHeight="1" x14ac:dyDescent="0.25">
      <c r="A1927" s="121"/>
      <c r="B1927" s="23"/>
      <c r="C1927" s="638" t="s">
        <v>37</v>
      </c>
      <c r="D1927" s="639"/>
      <c r="E1927" s="640"/>
      <c r="F1927" s="483"/>
      <c r="G1927" s="484"/>
      <c r="H1927" s="641" t="s">
        <v>28</v>
      </c>
      <c r="I1927" s="642"/>
      <c r="J1927" s="39">
        <f>+$D$1945-SUMIF($H$1933:$H$1940,"&lt;"&amp;$M$4,$K$1933:$K$1940)</f>
        <v>0</v>
      </c>
      <c r="K1927" s="24"/>
      <c r="L1927" s="24"/>
      <c r="M1927" s="24"/>
      <c r="N1927" s="25"/>
      <c r="O1927" s="195"/>
    </row>
    <row r="1928" spans="1:15" ht="15.95" customHeight="1" x14ac:dyDescent="0.25">
      <c r="A1928" s="121"/>
      <c r="B1928" s="23"/>
      <c r="C1928" s="58"/>
      <c r="D1928" s="664"/>
      <c r="E1928" s="665"/>
      <c r="F1928" s="483"/>
      <c r="G1928" s="484"/>
      <c r="H1928" s="645" t="s">
        <v>29</v>
      </c>
      <c r="I1928" s="646"/>
      <c r="J1928" s="40">
        <f>+$D$1944</f>
        <v>44704</v>
      </c>
      <c r="K1928" s="24"/>
      <c r="L1928" s="24"/>
      <c r="M1928" s="24"/>
      <c r="N1928" s="25"/>
      <c r="O1928" s="195"/>
    </row>
    <row r="1929" spans="1:15" ht="15.95" customHeight="1" x14ac:dyDescent="0.25">
      <c r="A1929" s="121"/>
      <c r="B1929" s="23"/>
      <c r="C1929" s="59" t="s">
        <v>25</v>
      </c>
      <c r="D1929" s="658"/>
      <c r="E1929" s="659"/>
      <c r="F1929" s="483"/>
      <c r="G1929" s="484"/>
      <c r="H1929" s="649" t="s">
        <v>30</v>
      </c>
      <c r="I1929" s="650"/>
      <c r="J1929" s="42" t="str">
        <f t="array" ref="J1929">+IF(H1940&gt;=M4,MIN(IF(H1933:H1941&gt;=$M$4,H1933:H1941,"")),"vencida")</f>
        <v>vencida</v>
      </c>
      <c r="K1929" s="24"/>
      <c r="L1929" s="24"/>
      <c r="M1929" s="24"/>
      <c r="N1929" s="25"/>
      <c r="O1929" s="195"/>
    </row>
    <row r="1930" spans="1:15" ht="15.95" customHeight="1" x14ac:dyDescent="0.25">
      <c r="A1930" s="121"/>
      <c r="B1930" s="23"/>
      <c r="C1930" s="59" t="s">
        <v>6</v>
      </c>
      <c r="D1930" s="658" t="s">
        <v>175</v>
      </c>
      <c r="E1930" s="659"/>
      <c r="F1930" s="483"/>
      <c r="G1930" s="484"/>
      <c r="H1930" s="24"/>
      <c r="I1930" s="24"/>
      <c r="J1930" s="24"/>
      <c r="K1930" s="24"/>
      <c r="L1930" s="24"/>
      <c r="M1930" s="24"/>
      <c r="N1930" s="25"/>
      <c r="O1930" s="195"/>
    </row>
    <row r="1931" spans="1:15" ht="20.100000000000001" customHeight="1" x14ac:dyDescent="0.25">
      <c r="A1931" s="121"/>
      <c r="B1931" s="23"/>
      <c r="C1931" s="59" t="s">
        <v>8</v>
      </c>
      <c r="D1931" s="658" t="s">
        <v>17</v>
      </c>
      <c r="E1931" s="659"/>
      <c r="F1931" s="483"/>
      <c r="G1931" s="484"/>
      <c r="H1931" s="651" t="s">
        <v>41</v>
      </c>
      <c r="I1931" s="652"/>
      <c r="J1931" s="652"/>
      <c r="K1931" s="652"/>
      <c r="L1931" s="653"/>
      <c r="M1931" s="24"/>
      <c r="N1931" s="25"/>
      <c r="O1931" s="195"/>
    </row>
    <row r="1932" spans="1:15" ht="15.95" customHeight="1" x14ac:dyDescent="0.25">
      <c r="A1932" s="121"/>
      <c r="B1932" s="23"/>
      <c r="C1932" s="59" t="s">
        <v>33</v>
      </c>
      <c r="D1932" s="73" t="s">
        <v>309</v>
      </c>
      <c r="E1932" s="273">
        <v>1</v>
      </c>
      <c r="F1932" s="483">
        <f>+E1932*J1927</f>
        <v>0</v>
      </c>
      <c r="G1932" s="484"/>
      <c r="H1932" s="81" t="s">
        <v>0</v>
      </c>
      <c r="I1932" s="82" t="s">
        <v>2</v>
      </c>
      <c r="J1932" s="82" t="s">
        <v>3</v>
      </c>
      <c r="K1932" s="82" t="s">
        <v>4</v>
      </c>
      <c r="L1932" s="83" t="s">
        <v>5</v>
      </c>
      <c r="M1932" s="82" t="s">
        <v>44</v>
      </c>
      <c r="N1932" s="25"/>
      <c r="O1932" s="195"/>
    </row>
    <row r="1933" spans="1:15" ht="15.95" customHeight="1" x14ac:dyDescent="0.25">
      <c r="A1933" s="121"/>
      <c r="B1933" s="23"/>
      <c r="C1933" s="59" t="s">
        <v>34</v>
      </c>
      <c r="D1933" s="658" t="s">
        <v>48</v>
      </c>
      <c r="E1933" s="659"/>
      <c r="F1933" s="483"/>
      <c r="G1933" s="484"/>
      <c r="H1933" s="45"/>
      <c r="I1933" s="46"/>
      <c r="J1933" s="46"/>
      <c r="K1933" s="46"/>
      <c r="L1933" s="47"/>
      <c r="M1933" s="23"/>
      <c r="N1933" s="25"/>
      <c r="O1933" s="194" t="str">
        <f>+D2089</f>
        <v>ON Pyme</v>
      </c>
    </row>
    <row r="1934" spans="1:15" ht="15.95" customHeight="1" x14ac:dyDescent="0.25">
      <c r="A1934" s="121"/>
      <c r="B1934" s="23"/>
      <c r="C1934" s="79" t="s">
        <v>38</v>
      </c>
      <c r="D1934" s="75"/>
      <c r="E1934" s="76"/>
      <c r="F1934" s="483"/>
      <c r="G1934" s="484"/>
      <c r="H1934" s="48">
        <f>+$D$1943</f>
        <v>43608</v>
      </c>
      <c r="I1934" s="70"/>
      <c r="J1934" s="49"/>
      <c r="K1934" s="49"/>
      <c r="L1934" s="50">
        <f>+D1945</f>
        <v>5000000</v>
      </c>
      <c r="M1934" s="93">
        <f>-L1934</f>
        <v>-5000000</v>
      </c>
      <c r="N1934" s="25"/>
      <c r="O1934" s="195"/>
    </row>
    <row r="1935" spans="1:15" ht="15.95" customHeight="1" x14ac:dyDescent="0.25">
      <c r="A1935" s="121"/>
      <c r="B1935" s="23"/>
      <c r="C1935" s="59"/>
      <c r="D1935" s="73"/>
      <c r="E1935" s="74"/>
      <c r="F1935" s="483"/>
      <c r="G1935" s="484"/>
      <c r="H1935" s="51">
        <f>IF(DAY(H1934)=DAY($H$1934),IF(WEEKDAY(EDATE(H1934,$D$1946),3)&lt;5,EDATE(H1934,$D$1946),WORKDAY(EDATE(H1934,$D$1946),1)),IF(WEEKDAY(EDATE($H$1934,$D$1946*COUNT($H$1934:H1934)),3)&lt;5,EDATE($H$1934,$D$1946*COUNT($H$1934:H1934)),WORKDAY(EDATE($H$1934,$D$1946*COUNT($H$1934:H1934)),1)))</f>
        <v>43794</v>
      </c>
      <c r="I1935" s="71" t="s">
        <v>13</v>
      </c>
      <c r="J1935" s="52">
        <v>1488645.8333333333</v>
      </c>
      <c r="K1935" s="52">
        <f>+IF(OR(I1935="A + C",I1935="A"),$D$1945*$D$1951,0)</f>
        <v>833000</v>
      </c>
      <c r="L1935" s="53">
        <f t="shared" ref="L1935:L1940" si="193">+L1934-K1935</f>
        <v>4167000</v>
      </c>
      <c r="M1935" s="94">
        <f t="shared" ref="M1935:M1940" si="194">+J1935+K1935</f>
        <v>2321645.833333333</v>
      </c>
      <c r="N1935" s="25"/>
      <c r="O1935" s="194" t="str">
        <f>+IF(J2087="vencida",IF(D2089='Reporte - Oscuro'!$C$40,'Reporte - Oscuro'!$C$40&amp;" vencida",IF(D2089='Reporte - Oscuro'!$C$41,'Reporte - Oscuro'!$C$41&amp;" vencida",IF(D2089='Reporte - Oscuro'!$C$42,'Reporte - Oscuro'!$C$42&amp;" vencida",'Reporte - Oscuro'!$C$43&amp;" vencida"))),D2089&amp;" vigente")</f>
        <v>ON Pyme vencida</v>
      </c>
    </row>
    <row r="1936" spans="1:15" ht="15.95" customHeight="1" x14ac:dyDescent="0.25">
      <c r="A1936" s="121"/>
      <c r="B1936" s="23"/>
      <c r="C1936" s="60"/>
      <c r="D1936" s="77"/>
      <c r="E1936" s="78"/>
      <c r="F1936" s="483"/>
      <c r="G1936" s="484"/>
      <c r="H1936" s="51">
        <f>IF(DAY(H1935)=DAY($H$1934),IF(WEEKDAY(EDATE(H1935,$D$1946),3)&lt;5,EDATE(H1935,$D$1946),WORKDAY(EDATE(H1935,$D$1946),1)),IF(WEEKDAY(EDATE($H$1934,$D$1946*COUNT($H$1934:H1935)),3)&lt;5,EDATE($H$1934,$D$1946*COUNT($H$1934:H1935)),WORKDAY(EDATE($H$1934,$D$1946*COUNT($H$1934:H1935)),1)))</f>
        <v>43976</v>
      </c>
      <c r="I1936" s="71" t="s">
        <v>13</v>
      </c>
      <c r="J1936" s="52">
        <v>924951.01562499988</v>
      </c>
      <c r="K1936" s="52">
        <f>+IF(OR(I1936="A + C",I1936="A"),$D$1945*$D$1951,0)</f>
        <v>833000</v>
      </c>
      <c r="L1936" s="53">
        <f t="shared" si="193"/>
        <v>3334000</v>
      </c>
      <c r="M1936" s="94">
        <f t="shared" si="194"/>
        <v>1757951.015625</v>
      </c>
      <c r="N1936" s="25"/>
      <c r="O1936" s="195"/>
    </row>
    <row r="1937" spans="1:17" ht="15.95" customHeight="1" x14ac:dyDescent="0.25">
      <c r="A1937" s="121"/>
      <c r="B1937" s="23"/>
      <c r="C1937" s="60"/>
      <c r="D1937" s="55" t="str">
        <f>+B1925</f>
        <v>Sea White I</v>
      </c>
      <c r="E1937" s="64"/>
      <c r="F1937" s="483"/>
      <c r="G1937" s="484">
        <f>+J1927</f>
        <v>0</v>
      </c>
      <c r="H1937" s="51">
        <f>IF(DAY(H1936)=DAY($H$1934),IF(WEEKDAY(EDATE(H1936,$D$1946),3)&lt;5,EDATE(H1936,$D$1946),WORKDAY(EDATE(H1936,$D$1946),1)),IF(WEEKDAY(EDATE($H$1934,$D$1946*COUNT($H$1934:H1936)),3)&lt;5,EDATE($H$1934,$D$1946*COUNT($H$1934:H1936)),WORKDAY(EDATE($H$1934,$D$1946*COUNT($H$1934:H1936)),1)))</f>
        <v>44158</v>
      </c>
      <c r="I1937" s="71" t="s">
        <v>13</v>
      </c>
      <c r="J1937" s="52">
        <v>575184.45833333337</v>
      </c>
      <c r="K1937" s="52">
        <f>+IF(OR(I1937="A + C",I1937="A"),$D$1945*$D$1951,0)</f>
        <v>833000</v>
      </c>
      <c r="L1937" s="53">
        <f t="shared" si="193"/>
        <v>2501000</v>
      </c>
      <c r="M1937" s="94">
        <f t="shared" si="194"/>
        <v>1408184.4583333335</v>
      </c>
      <c r="N1937" s="25"/>
      <c r="O1937" s="195"/>
    </row>
    <row r="1938" spans="1:17" ht="15.95" customHeight="1" x14ac:dyDescent="0.25">
      <c r="A1938" s="121"/>
      <c r="B1938" s="32"/>
      <c r="D1938" s="644"/>
      <c r="E1938" s="660"/>
      <c r="F1938" s="483"/>
      <c r="G1938" s="484"/>
      <c r="H1938" s="51">
        <f>IF(DAY(H1937)=DAY($H$1934),IF(WEEKDAY(EDATE(H1937,$D$1946),3)&lt;5,EDATE(H1937,$D$1946),WORKDAY(EDATE(H1937,$D$1946),1)),IF(WEEKDAY(EDATE($H$1934,$D$1946*COUNT($H$1934:H1937)),3)&lt;5,EDATE($H$1934,$D$1946*COUNT($H$1934:H1937)),WORKDAY(EDATE($H$1934,$D$1946*COUNT($H$1934:H1937)),1)))</f>
        <v>44340</v>
      </c>
      <c r="I1938" s="71" t="s">
        <v>13</v>
      </c>
      <c r="J1938" s="52">
        <v>431474.60416666669</v>
      </c>
      <c r="K1938" s="52">
        <f>+IF(OR(I1938="A + C",I1938="A"),$D$1945*$D$1951,0)</f>
        <v>833000</v>
      </c>
      <c r="L1938" s="53">
        <f t="shared" si="193"/>
        <v>1668000</v>
      </c>
      <c r="M1938" s="94">
        <f t="shared" si="194"/>
        <v>1264474.6041666667</v>
      </c>
      <c r="N1938" s="25"/>
      <c r="O1938" s="195"/>
    </row>
    <row r="1939" spans="1:17" ht="15.95" customHeight="1" x14ac:dyDescent="0.25">
      <c r="A1939" s="121"/>
      <c r="B1939" s="23"/>
      <c r="C1939" s="638" t="s">
        <v>36</v>
      </c>
      <c r="D1939" s="640"/>
      <c r="E1939" s="36"/>
      <c r="F1939" s="483"/>
      <c r="G1939" s="484"/>
      <c r="H1939" s="51">
        <f>IF(DAY(H1938)=DAY($H$1934),IF(WEEKDAY(EDATE(H1938,$D$1946),3)&lt;5,EDATE(H1938,$D$1946),WORKDAY(EDATE(H1938,$D$1946),1)),IF(WEEKDAY(EDATE($H$1934,$D$1946*COUNT($H$1934:H1938)),3)&lt;5,EDATE($H$1934,$D$1946*COUNT($H$1934:H1938)),WORKDAY(EDATE($H$1934,$D$1946*COUNT($H$1934:H1938)),1)))</f>
        <v>44523</v>
      </c>
      <c r="I1939" s="71" t="s">
        <v>13</v>
      </c>
      <c r="J1939" s="52">
        <v>289345.875</v>
      </c>
      <c r="K1939" s="52">
        <f>+IF(OR(I1939="A + C",I1939="A"),$D$1945*$D$1951,0)</f>
        <v>833000</v>
      </c>
      <c r="L1939" s="53">
        <f t="shared" si="193"/>
        <v>835000</v>
      </c>
      <c r="M1939" s="94">
        <f t="shared" si="194"/>
        <v>1122345.875</v>
      </c>
      <c r="N1939" s="25"/>
      <c r="O1939" s="197">
        <f>+M2092</f>
        <v>-60000000</v>
      </c>
      <c r="P1939" s="197">
        <f>-M2092</f>
        <v>60000000</v>
      </c>
      <c r="Q1939" s="197"/>
    </row>
    <row r="1940" spans="1:17" ht="15.95" customHeight="1" x14ac:dyDescent="0.25">
      <c r="A1940" s="121"/>
      <c r="B1940" s="23"/>
      <c r="C1940" s="59"/>
      <c r="D1940" s="62"/>
      <c r="E1940" s="36"/>
      <c r="F1940" s="483"/>
      <c r="G1940" s="484"/>
      <c r="H1940" s="51">
        <f>IF(DAY(H1939)=DAY($H$1934),IF(WEEKDAY(EDATE(H1939,$D$1946),3)&lt;5,EDATE(H1939,$D$1946),WORKDAY(EDATE(H1939,$D$1946),1)),IF(WEEKDAY(EDATE($H$1934,$D$1946*COUNT($H$1934:H1939)),3)&lt;5,EDATE($H$1934,$D$1946*COUNT($H$1934:H1939)),WORKDAY(EDATE($H$1934,$D$1946*COUNT($H$1934:H1939)),1)))</f>
        <v>44704</v>
      </c>
      <c r="I1940" s="71" t="s">
        <v>13</v>
      </c>
      <c r="J1940" s="52">
        <v>143263.38541666666</v>
      </c>
      <c r="K1940" s="52">
        <f>+IF(OR(I1940="A + C",I1940="A"),$D$1945*$D$1952,0)</f>
        <v>835000</v>
      </c>
      <c r="L1940" s="53">
        <f t="shared" si="193"/>
        <v>0</v>
      </c>
      <c r="M1940" s="94">
        <f t="shared" si="194"/>
        <v>978263.38541666663</v>
      </c>
      <c r="N1940" s="25"/>
      <c r="O1940" s="197">
        <f t="shared" ref="O1940:O1945" si="195">+M2093+O1939</f>
        <v>-51440208.333333336</v>
      </c>
      <c r="P1940" s="197">
        <f t="shared" ref="P1940:P1945" si="196">+(M2093/(1+$J$2102)^((H2093-$H$2092)/365))/$P$1939</f>
        <v>0.14266319444444445</v>
      </c>
      <c r="Q1940" s="197">
        <f t="shared" ref="Q1940:Q1945" si="197">+P1940*((H2093-$H$2092)/365)</f>
        <v>7.0745310121765603E-2</v>
      </c>
    </row>
    <row r="1941" spans="1:17" ht="15.95" customHeight="1" x14ac:dyDescent="0.25">
      <c r="A1941" s="121"/>
      <c r="B1941" s="23"/>
      <c r="C1941" s="59" t="s">
        <v>9</v>
      </c>
      <c r="D1941" s="98" t="s">
        <v>18</v>
      </c>
      <c r="E1941" s="36"/>
      <c r="F1941" s="483"/>
      <c r="G1941" s="484"/>
      <c r="H1941" s="54"/>
      <c r="I1941" s="104"/>
      <c r="J1941" s="105"/>
      <c r="K1941" s="105"/>
      <c r="L1941" s="106"/>
      <c r="M1941" s="109"/>
      <c r="N1941" s="25"/>
      <c r="O1941" s="197">
        <f t="shared" si="195"/>
        <v>-29013541.666666672</v>
      </c>
      <c r="P1941" s="197">
        <f t="shared" si="196"/>
        <v>0.37377777777777771</v>
      </c>
      <c r="Q1941" s="197">
        <f t="shared" si="197"/>
        <v>0.37377777777777771</v>
      </c>
    </row>
    <row r="1942" spans="1:17" ht="15.95" customHeight="1" x14ac:dyDescent="0.25">
      <c r="A1942" s="121"/>
      <c r="B1942" s="23"/>
      <c r="C1942" s="59" t="s">
        <v>10</v>
      </c>
      <c r="D1942" s="65">
        <v>43605</v>
      </c>
      <c r="E1942" s="36"/>
      <c r="F1942" s="483"/>
      <c r="G1942" s="484"/>
      <c r="H1942" s="109"/>
      <c r="I1942" s="109"/>
      <c r="J1942" s="109"/>
      <c r="K1942" s="109"/>
      <c r="L1942" s="109"/>
      <c r="M1942" s="109"/>
      <c r="N1942" s="25"/>
      <c r="O1942" s="197">
        <f t="shared" si="195"/>
        <v>-8808208.3333333358</v>
      </c>
      <c r="P1942" s="197">
        <f t="shared" si="196"/>
        <v>0.33675555555555559</v>
      </c>
      <c r="Q1942" s="197">
        <f t="shared" si="197"/>
        <v>0.50374940639269417</v>
      </c>
    </row>
    <row r="1943" spans="1:17" ht="15.95" customHeight="1" x14ac:dyDescent="0.25">
      <c r="A1943" s="121"/>
      <c r="B1943" s="23"/>
      <c r="C1943" s="59" t="s">
        <v>11</v>
      </c>
      <c r="D1943" s="65">
        <v>43608</v>
      </c>
      <c r="E1943" s="36"/>
      <c r="F1943" s="483"/>
      <c r="G1943" s="484"/>
      <c r="H1943" s="656" t="s">
        <v>43</v>
      </c>
      <c r="I1943" s="656"/>
      <c r="J1943" s="92">
        <v>0</v>
      </c>
      <c r="K1943" s="92"/>
      <c r="L1943" s="24"/>
      <c r="M1943" s="24"/>
      <c r="N1943" s="25"/>
      <c r="O1943" s="197">
        <f t="shared" si="195"/>
        <v>9447791.6666666642</v>
      </c>
      <c r="P1943" s="197">
        <f t="shared" si="196"/>
        <v>0.30426666666666669</v>
      </c>
      <c r="Q1943" s="197">
        <f t="shared" si="197"/>
        <v>0.60853333333333337</v>
      </c>
    </row>
    <row r="1944" spans="1:17" ht="15.95" customHeight="1" x14ac:dyDescent="0.25">
      <c r="A1944" s="121"/>
      <c r="B1944" s="23"/>
      <c r="C1944" s="59" t="s">
        <v>12</v>
      </c>
      <c r="D1944" s="65">
        <v>44704</v>
      </c>
      <c r="E1944" s="36"/>
      <c r="F1944" s="483"/>
      <c r="G1944" s="484"/>
      <c r="H1944" s="657"/>
      <c r="I1944" s="657"/>
      <c r="J1944" s="392"/>
      <c r="K1944" s="24"/>
      <c r="L1944" s="33"/>
      <c r="M1944" s="33"/>
      <c r="N1944" s="25"/>
      <c r="O1944" s="197">
        <f t="shared" si="195"/>
        <v>25573125</v>
      </c>
      <c r="P1944" s="197">
        <f t="shared" si="196"/>
        <v>0.26875555555555558</v>
      </c>
      <c r="Q1944" s="197">
        <f t="shared" si="197"/>
        <v>0.6715207305936074</v>
      </c>
    </row>
    <row r="1945" spans="1:17" ht="15.95" customHeight="1" x14ac:dyDescent="0.25">
      <c r="A1945" s="121"/>
      <c r="B1945" s="23"/>
      <c r="C1945" s="59" t="s">
        <v>27</v>
      </c>
      <c r="D1945" s="66">
        <v>5000000</v>
      </c>
      <c r="E1945" s="41"/>
      <c r="F1945" s="480"/>
      <c r="G1945" s="484"/>
      <c r="H1945" s="24"/>
      <c r="I1945" s="24"/>
      <c r="J1945" s="24"/>
      <c r="K1945" s="24"/>
      <c r="L1945" s="24"/>
      <c r="M1945" s="24"/>
      <c r="N1945" s="25"/>
      <c r="O1945" s="197">
        <f t="shared" si="195"/>
        <v>39681125</v>
      </c>
      <c r="P1945" s="197">
        <f t="shared" si="196"/>
        <v>0.23513333333333333</v>
      </c>
      <c r="Q1945" s="197">
        <f t="shared" si="197"/>
        <v>0.70733260273972598</v>
      </c>
    </row>
    <row r="1946" spans="1:17" ht="15.95" customHeight="1" x14ac:dyDescent="0.25">
      <c r="A1946" s="121"/>
      <c r="B1946" s="23"/>
      <c r="C1946" s="59" t="s">
        <v>26</v>
      </c>
      <c r="D1946" s="66">
        <v>6</v>
      </c>
      <c r="E1946" s="36"/>
      <c r="F1946" s="480"/>
      <c r="G1946" s="484"/>
      <c r="H1946" s="638" t="s">
        <v>44</v>
      </c>
      <c r="I1946" s="639"/>
      <c r="J1946" s="639"/>
      <c r="K1946" s="639"/>
      <c r="L1946" s="639"/>
      <c r="M1946" s="640"/>
      <c r="N1946" s="25"/>
      <c r="O1946" s="197"/>
      <c r="P1946" s="29"/>
    </row>
    <row r="1947" spans="1:17" ht="15.95" customHeight="1" x14ac:dyDescent="0.25">
      <c r="A1947" s="121"/>
      <c r="B1947" s="23"/>
      <c r="C1947" s="59" t="s">
        <v>19</v>
      </c>
      <c r="D1947" s="67" t="s">
        <v>20</v>
      </c>
      <c r="E1947" s="43"/>
      <c r="F1947" s="480"/>
      <c r="G1947" s="484"/>
      <c r="H1947" s="23"/>
      <c r="I1947" s="24"/>
      <c r="J1947" s="24"/>
      <c r="K1947" s="24"/>
      <c r="L1947" s="24"/>
      <c r="M1947" s="25"/>
      <c r="N1947" s="25"/>
      <c r="O1947" s="197"/>
      <c r="P1947" s="29"/>
    </row>
    <row r="1948" spans="1:17" ht="15.95" customHeight="1" x14ac:dyDescent="0.25">
      <c r="A1948" s="121"/>
      <c r="B1948" s="23"/>
      <c r="C1948" s="59" t="s">
        <v>14</v>
      </c>
      <c r="D1948" s="68">
        <v>0.08</v>
      </c>
      <c r="E1948" s="43"/>
      <c r="F1948" s="480"/>
      <c r="G1948" s="484"/>
      <c r="H1948" s="23"/>
      <c r="I1948" s="24"/>
      <c r="J1948" s="24"/>
      <c r="K1948" s="24"/>
      <c r="L1948" s="24"/>
      <c r="M1948" s="25"/>
      <c r="N1948" s="25"/>
      <c r="O1948" s="195"/>
      <c r="P1948" s="29"/>
    </row>
    <row r="1949" spans="1:17" ht="15.95" customHeight="1" x14ac:dyDescent="0.25">
      <c r="A1949" s="121"/>
      <c r="B1949" s="23"/>
      <c r="C1949" s="59" t="s">
        <v>31</v>
      </c>
      <c r="D1949" s="68"/>
      <c r="E1949" s="43"/>
      <c r="F1949" s="480"/>
      <c r="G1949" s="484"/>
      <c r="H1949" s="96"/>
      <c r="I1949" s="35"/>
      <c r="J1949" s="24"/>
      <c r="K1949" s="24"/>
      <c r="L1949" s="24"/>
      <c r="M1949" s="25"/>
      <c r="N1949" s="25"/>
      <c r="O1949" s="195"/>
    </row>
    <row r="1950" spans="1:17" ht="15.95" customHeight="1" x14ac:dyDescent="0.25">
      <c r="A1950" s="121"/>
      <c r="B1950" s="23"/>
      <c r="C1950" s="59" t="s">
        <v>32</v>
      </c>
      <c r="D1950" s="68"/>
      <c r="E1950" s="44"/>
      <c r="F1950" s="480"/>
      <c r="G1950" s="484"/>
      <c r="H1950" s="23"/>
      <c r="I1950" s="24"/>
      <c r="J1950" s="24"/>
      <c r="K1950" s="24"/>
      <c r="L1950" s="24"/>
      <c r="M1950" s="25"/>
      <c r="N1950" s="25"/>
      <c r="O1950" s="195"/>
      <c r="P1950" s="37"/>
    </row>
    <row r="1951" spans="1:17" ht="15.95" customHeight="1" x14ac:dyDescent="0.25">
      <c r="A1951" s="121"/>
      <c r="B1951" s="23"/>
      <c r="C1951" s="59" t="s">
        <v>42</v>
      </c>
      <c r="D1951" s="68">
        <v>0.1666</v>
      </c>
      <c r="E1951" s="24"/>
      <c r="F1951" s="480"/>
      <c r="G1951" s="484"/>
      <c r="H1951" s="23"/>
      <c r="I1951" s="24"/>
      <c r="J1951" s="24"/>
      <c r="K1951" s="24"/>
      <c r="L1951" s="24"/>
      <c r="M1951" s="25"/>
      <c r="N1951" s="25"/>
      <c r="O1951" s="195"/>
    </row>
    <row r="1952" spans="1:17" ht="15.95" customHeight="1" x14ac:dyDescent="0.25">
      <c r="A1952" s="121"/>
      <c r="B1952" s="23"/>
      <c r="C1952" s="59" t="s">
        <v>55</v>
      </c>
      <c r="D1952" s="68">
        <v>0.16700000000000001</v>
      </c>
      <c r="E1952" s="24"/>
      <c r="F1952" s="480"/>
      <c r="G1952" s="484"/>
      <c r="H1952" s="23"/>
      <c r="I1952" s="24"/>
      <c r="J1952" s="24"/>
      <c r="K1952" s="24"/>
      <c r="L1952" s="24"/>
      <c r="M1952" s="25"/>
      <c r="N1952" s="25"/>
      <c r="O1952" s="195"/>
    </row>
    <row r="1953" spans="1:15" ht="15.95" customHeight="1" x14ac:dyDescent="0.25">
      <c r="A1953" s="121"/>
      <c r="B1953" s="23"/>
      <c r="C1953" s="60"/>
      <c r="D1953" s="110"/>
      <c r="E1953" s="24"/>
      <c r="F1953" s="480"/>
      <c r="G1953" s="484"/>
      <c r="H1953" s="23"/>
      <c r="I1953" s="24"/>
      <c r="J1953" s="24"/>
      <c r="K1953" s="24"/>
      <c r="L1953" s="24"/>
      <c r="M1953" s="25"/>
      <c r="N1953" s="25"/>
      <c r="O1953" s="195"/>
    </row>
    <row r="1954" spans="1:15" ht="15.95" customHeight="1" x14ac:dyDescent="0.25">
      <c r="A1954" s="121"/>
      <c r="B1954" s="23"/>
      <c r="C1954" s="24"/>
      <c r="D1954" s="24"/>
      <c r="E1954" s="24"/>
      <c r="F1954" s="480"/>
      <c r="G1954" s="485"/>
      <c r="H1954" s="23"/>
      <c r="I1954" s="24"/>
      <c r="J1954" s="24"/>
      <c r="K1954" s="24"/>
      <c r="L1954" s="24"/>
      <c r="M1954" s="25"/>
      <c r="N1954" s="25"/>
      <c r="O1954" s="195"/>
    </row>
    <row r="1955" spans="1:15" ht="15.95" customHeight="1" x14ac:dyDescent="0.25">
      <c r="A1955" s="121"/>
      <c r="B1955" s="23"/>
      <c r="C1955" s="24"/>
      <c r="D1955" s="24"/>
      <c r="E1955" s="24"/>
      <c r="F1955" s="480"/>
      <c r="G1955" s="485"/>
      <c r="H1955" s="23"/>
      <c r="I1955" s="24"/>
      <c r="J1955" s="24"/>
      <c r="K1955" s="24"/>
      <c r="L1955" s="24"/>
      <c r="M1955" s="25"/>
      <c r="N1955" s="25"/>
      <c r="O1955" s="195"/>
    </row>
    <row r="1956" spans="1:15" ht="15.95" customHeight="1" x14ac:dyDescent="0.25">
      <c r="A1956" s="121"/>
      <c r="B1956" s="23"/>
      <c r="C1956" s="24"/>
      <c r="D1956" s="24"/>
      <c r="E1956" s="24"/>
      <c r="F1956" s="480"/>
      <c r="G1956" s="485"/>
      <c r="H1956" s="23"/>
      <c r="I1956" s="24"/>
      <c r="J1956" s="24"/>
      <c r="K1956" s="24"/>
      <c r="L1956" s="24"/>
      <c r="M1956" s="25"/>
      <c r="N1956" s="25"/>
      <c r="O1956" s="195"/>
    </row>
    <row r="1957" spans="1:15" ht="15.95" customHeight="1" x14ac:dyDescent="0.25">
      <c r="A1957" s="121"/>
      <c r="B1957" s="23"/>
      <c r="C1957" s="24"/>
      <c r="D1957" s="24"/>
      <c r="E1957" s="24"/>
      <c r="F1957" s="480"/>
      <c r="G1957" s="485"/>
      <c r="H1957" s="23"/>
      <c r="I1957" s="24"/>
      <c r="J1957" s="24"/>
      <c r="K1957" s="24"/>
      <c r="L1957" s="24"/>
      <c r="M1957" s="25"/>
      <c r="N1957" s="25"/>
      <c r="O1957" s="195"/>
    </row>
    <row r="1958" spans="1:15" ht="15.95" customHeight="1" x14ac:dyDescent="0.25">
      <c r="A1958" s="121"/>
      <c r="B1958" s="23"/>
      <c r="C1958" s="24"/>
      <c r="D1958" s="24"/>
      <c r="E1958" s="24"/>
      <c r="F1958" s="480"/>
      <c r="G1958" s="485"/>
      <c r="H1958" s="23"/>
      <c r="I1958" s="24"/>
      <c r="J1958" s="24"/>
      <c r="K1958" s="24"/>
      <c r="L1958" s="24"/>
      <c r="M1958" s="25"/>
      <c r="N1958" s="25"/>
      <c r="O1958" s="195"/>
    </row>
    <row r="1959" spans="1:15" ht="15.95" customHeight="1" x14ac:dyDescent="0.25">
      <c r="A1959" s="121"/>
      <c r="B1959" s="23"/>
      <c r="C1959" s="24"/>
      <c r="D1959" s="24"/>
      <c r="E1959" s="24"/>
      <c r="F1959" s="480"/>
      <c r="G1959" s="485"/>
      <c r="H1959" s="26"/>
      <c r="I1959" s="27"/>
      <c r="J1959" s="27"/>
      <c r="K1959" s="27"/>
      <c r="L1959" s="27"/>
      <c r="M1959" s="28"/>
      <c r="N1959" s="25"/>
      <c r="O1959" s="195"/>
    </row>
    <row r="1960" spans="1:15" ht="15.95" customHeight="1" x14ac:dyDescent="0.25">
      <c r="A1960" s="121"/>
      <c r="B1960" s="26"/>
      <c r="C1960" s="27"/>
      <c r="D1960" s="27"/>
      <c r="E1960" s="27"/>
      <c r="F1960" s="481"/>
      <c r="G1960" s="486"/>
      <c r="H1960" s="27"/>
      <c r="I1960" s="27"/>
      <c r="J1960" s="27"/>
      <c r="K1960" s="27"/>
      <c r="L1960" s="27"/>
      <c r="M1960" s="27"/>
      <c r="N1960" s="28"/>
      <c r="O1960" s="195"/>
    </row>
    <row r="1961" spans="1:15" ht="15.95" customHeight="1" x14ac:dyDescent="0.25">
      <c r="A1961" s="121"/>
      <c r="B1961" s="635" t="s">
        <v>176</v>
      </c>
      <c r="C1961" s="636"/>
      <c r="D1961" s="636"/>
      <c r="E1961" s="636"/>
      <c r="F1961" s="636"/>
      <c r="G1961" s="636"/>
      <c r="H1961" s="636"/>
      <c r="I1961" s="636"/>
      <c r="J1961" s="636"/>
      <c r="K1961" s="636"/>
      <c r="L1961" s="636"/>
      <c r="M1961" s="636"/>
      <c r="N1961" s="637"/>
      <c r="O1961" s="195"/>
    </row>
    <row r="1962" spans="1:15" ht="15.95" customHeight="1" x14ac:dyDescent="0.25">
      <c r="A1962" s="121"/>
      <c r="B1962" s="23"/>
      <c r="C1962" s="24"/>
      <c r="D1962" s="24"/>
      <c r="E1962" s="24"/>
      <c r="F1962" s="483"/>
      <c r="G1962" s="484"/>
      <c r="H1962" s="31"/>
      <c r="I1962" s="31"/>
      <c r="J1962" s="24"/>
      <c r="K1962" s="24"/>
      <c r="L1962" s="24"/>
      <c r="M1962" s="24"/>
      <c r="N1962" s="25"/>
      <c r="O1962" s="195"/>
    </row>
    <row r="1963" spans="1:15" ht="15.95" customHeight="1" x14ac:dyDescent="0.25">
      <c r="A1963" s="121"/>
      <c r="B1963" s="23"/>
      <c r="C1963" s="638" t="s">
        <v>37</v>
      </c>
      <c r="D1963" s="639"/>
      <c r="E1963" s="640"/>
      <c r="F1963" s="483"/>
      <c r="G1963" s="484"/>
      <c r="H1963" s="641" t="s">
        <v>28</v>
      </c>
      <c r="I1963" s="642"/>
      <c r="J1963" s="39">
        <f>+$D$1981-SUMIF($H$1969:$H$1983,"&lt;"&amp;$M$4,$K$1969:$K$1983)</f>
        <v>0</v>
      </c>
      <c r="K1963" s="24"/>
      <c r="L1963" s="24"/>
      <c r="M1963" s="24"/>
      <c r="N1963" s="25"/>
      <c r="O1963" s="195"/>
    </row>
    <row r="1964" spans="1:15" ht="15.95" customHeight="1" x14ac:dyDescent="0.25">
      <c r="A1964" s="121"/>
      <c r="B1964" s="23"/>
      <c r="C1964" s="58"/>
      <c r="D1964" s="664"/>
      <c r="E1964" s="665"/>
      <c r="F1964" s="483"/>
      <c r="G1964" s="484"/>
      <c r="H1964" s="645" t="s">
        <v>29</v>
      </c>
      <c r="I1964" s="646"/>
      <c r="J1964" s="40">
        <f>+$D$1980</f>
        <v>44487</v>
      </c>
      <c r="K1964" s="24"/>
      <c r="L1964" s="24"/>
      <c r="M1964" s="24"/>
      <c r="N1964" s="25"/>
      <c r="O1964" s="195"/>
    </row>
    <row r="1965" spans="1:15" ht="15.95" customHeight="1" x14ac:dyDescent="0.25">
      <c r="A1965" s="121"/>
      <c r="B1965" s="23"/>
      <c r="C1965" s="59" t="s">
        <v>25</v>
      </c>
      <c r="D1965" s="658"/>
      <c r="E1965" s="659"/>
      <c r="F1965" s="483"/>
      <c r="G1965" s="484"/>
      <c r="H1965" s="649" t="s">
        <v>30</v>
      </c>
      <c r="I1965" s="650"/>
      <c r="J1965" s="42" t="str">
        <f t="array" ref="J1965">+IF(H1982&gt;=M4,MIN(IF(H1969:H1983&gt;=$M$4,H1969:H1983,"")),"vencida")</f>
        <v>vencida</v>
      </c>
      <c r="K1965" s="24"/>
      <c r="L1965" s="24"/>
      <c r="M1965" s="24"/>
      <c r="N1965" s="25"/>
      <c r="O1965" s="195"/>
    </row>
    <row r="1966" spans="1:15" ht="15.95" customHeight="1" x14ac:dyDescent="0.25">
      <c r="A1966" s="121"/>
      <c r="B1966" s="23"/>
      <c r="C1966" s="59" t="s">
        <v>6</v>
      </c>
      <c r="D1966" s="658" t="s">
        <v>177</v>
      </c>
      <c r="E1966" s="659"/>
      <c r="F1966" s="483"/>
      <c r="G1966" s="484"/>
      <c r="H1966" s="24"/>
      <c r="I1966" s="24"/>
      <c r="J1966" s="24"/>
      <c r="K1966" s="24"/>
      <c r="L1966" s="24"/>
      <c r="M1966" s="24"/>
      <c r="N1966" s="25"/>
      <c r="O1966" s="195"/>
    </row>
    <row r="1967" spans="1:15" ht="15.95" customHeight="1" x14ac:dyDescent="0.25">
      <c r="A1967" s="121"/>
      <c r="B1967" s="23"/>
      <c r="C1967" s="59" t="s">
        <v>8</v>
      </c>
      <c r="D1967" s="658" t="s">
        <v>17</v>
      </c>
      <c r="E1967" s="659"/>
      <c r="F1967" s="483"/>
      <c r="G1967" s="484"/>
      <c r="H1967" s="651" t="s">
        <v>41</v>
      </c>
      <c r="I1967" s="652"/>
      <c r="J1967" s="652"/>
      <c r="K1967" s="652"/>
      <c r="L1967" s="653"/>
      <c r="M1967" s="24"/>
      <c r="N1967" s="25"/>
      <c r="O1967" s="195"/>
    </row>
    <row r="1968" spans="1:15" ht="20.100000000000001" customHeight="1" x14ac:dyDescent="0.25">
      <c r="A1968" s="121"/>
      <c r="B1968" s="23"/>
      <c r="C1968" s="59" t="s">
        <v>33</v>
      </c>
      <c r="D1968" s="73" t="s">
        <v>309</v>
      </c>
      <c r="E1968" s="273">
        <v>1</v>
      </c>
      <c r="F1968" s="483">
        <f>+E1968*J1963</f>
        <v>0</v>
      </c>
      <c r="G1968" s="484"/>
      <c r="H1968" s="81" t="s">
        <v>0</v>
      </c>
      <c r="I1968" s="82" t="s">
        <v>2</v>
      </c>
      <c r="J1968" s="82" t="s">
        <v>3</v>
      </c>
      <c r="K1968" s="82" t="s">
        <v>4</v>
      </c>
      <c r="L1968" s="83" t="s">
        <v>5</v>
      </c>
      <c r="M1968" s="82" t="s">
        <v>44</v>
      </c>
      <c r="N1968" s="25"/>
      <c r="O1968" s="194" t="str">
        <f>+D2124</f>
        <v>ON Pyme CNV Garantizada</v>
      </c>
    </row>
    <row r="1969" spans="1:17" ht="15.95" customHeight="1" x14ac:dyDescent="0.25">
      <c r="A1969" s="121"/>
      <c r="B1969" s="23"/>
      <c r="C1969" s="59" t="s">
        <v>34</v>
      </c>
      <c r="D1969" s="658" t="s">
        <v>48</v>
      </c>
      <c r="E1969" s="659"/>
      <c r="F1969" s="483"/>
      <c r="G1969" s="484"/>
      <c r="H1969" s="45"/>
      <c r="I1969" s="46"/>
      <c r="J1969" s="46"/>
      <c r="K1969" s="46"/>
      <c r="L1969" s="47"/>
      <c r="M1969" s="23"/>
      <c r="N1969" s="25"/>
      <c r="O1969" s="195"/>
    </row>
    <row r="1970" spans="1:17" ht="20.100000000000001" customHeight="1" x14ac:dyDescent="0.25">
      <c r="A1970" s="121"/>
      <c r="B1970" s="23"/>
      <c r="C1970" s="79" t="s">
        <v>38</v>
      </c>
      <c r="D1970" s="75"/>
      <c r="E1970" s="76"/>
      <c r="F1970" s="483"/>
      <c r="G1970" s="484"/>
      <c r="H1970" s="48">
        <f>+$D$1979</f>
        <v>43391</v>
      </c>
      <c r="I1970" s="70"/>
      <c r="J1970" s="49"/>
      <c r="K1970" s="49"/>
      <c r="L1970" s="50">
        <f>+D1981</f>
        <v>8000000</v>
      </c>
      <c r="M1970" s="93">
        <f>-L1970</f>
        <v>-8000000</v>
      </c>
      <c r="N1970" s="25"/>
      <c r="O1970" s="194" t="str">
        <f>+IF(J2122="vencida",IF(D2124='Reporte - Oscuro'!$C$40,'Reporte - Oscuro'!$C$40&amp;" vencida",IF(D2124='Reporte - Oscuro'!$C$41,'Reporte - Oscuro'!$C$41&amp;" vencida",IF(D2124='Reporte - Oscuro'!$C$42,'Reporte - Oscuro'!$C$42&amp;" vencida",'Reporte - Oscuro'!$C$43&amp;" vencida"))),D2124&amp;" vigente")</f>
        <v>ON Pyme CNV Garantizada vencida</v>
      </c>
    </row>
    <row r="1971" spans="1:17" ht="15.95" customHeight="1" x14ac:dyDescent="0.25">
      <c r="A1971" s="121"/>
      <c r="B1971" s="23"/>
      <c r="C1971" s="59"/>
      <c r="D1971" s="73"/>
      <c r="E1971" s="74"/>
      <c r="F1971" s="483"/>
      <c r="G1971" s="484"/>
      <c r="H1971" s="51">
        <f>IF(DAY(H1970)=DAY($H$1970),IF(WEEKDAY(EDATE(H1970,$D$1982),3)&lt;5,EDATE(H1970,$D$1982),WORKDAY(EDATE(H1970,$D$1982),1)),IF(WEEKDAY(EDATE($H$1970,$D$1982*COUNT($H$1970:H1970)),3)&lt;5,EDATE($H$1970,$D$1982*COUNT($H$1970:H1970)),WORKDAY(EDATE($H$1970,$D$1982*COUNT($H$1970:H1970)),1)))</f>
        <v>43483</v>
      </c>
      <c r="I1971" s="71" t="s">
        <v>7</v>
      </c>
      <c r="J1971" s="52">
        <v>1146166.6666666665</v>
      </c>
      <c r="K1971" s="52">
        <f t="shared" ref="K1971:K1981" si="198">+IF(OR(I1971="A + C",I1971="A"),$D$1981*$D$1987,0)</f>
        <v>0</v>
      </c>
      <c r="L1971" s="53">
        <f t="shared" ref="L1971:L1982" si="199">+L1970-K1971</f>
        <v>8000000</v>
      </c>
      <c r="M1971" s="94">
        <f t="shared" ref="M1971:M1982" si="200">+J1971+K1971</f>
        <v>1146166.6666666665</v>
      </c>
      <c r="N1971" s="25"/>
      <c r="O1971" s="195"/>
    </row>
    <row r="1972" spans="1:17" ht="15.95" customHeight="1" x14ac:dyDescent="0.25">
      <c r="A1972" s="121"/>
      <c r="B1972" s="23"/>
      <c r="C1972" s="60"/>
      <c r="D1972" s="77"/>
      <c r="E1972" s="78"/>
      <c r="F1972" s="483"/>
      <c r="G1972" s="484"/>
      <c r="H1972" s="51">
        <f>IF(DAY(H1971)=DAY($H$1970),IF(WEEKDAY(EDATE(H1971,$D$1982),3)&lt;5,EDATE(H1971,$D$1982),WORKDAY(EDATE(H1971,$D$1982),1)),IF(WEEKDAY(EDATE($H$1970,$D$1982*COUNT($H$1970:H1971)),3)&lt;5,EDATE($H$1970,$D$1982*COUNT($H$1970:H1971)),WORKDAY(EDATE($H$1970,$D$1982*COUNT($H$1970:H1971)),1)))</f>
        <v>43573</v>
      </c>
      <c r="I1972" s="71" t="s">
        <v>13</v>
      </c>
      <c r="J1972" s="52">
        <v>1107500</v>
      </c>
      <c r="K1972" s="52">
        <f t="shared" si="198"/>
        <v>720000</v>
      </c>
      <c r="L1972" s="53">
        <f t="shared" si="199"/>
        <v>7280000</v>
      </c>
      <c r="M1972" s="94">
        <f t="shared" si="200"/>
        <v>1827500</v>
      </c>
      <c r="N1972" s="25"/>
      <c r="O1972" s="195"/>
    </row>
    <row r="1973" spans="1:17" ht="15.95" customHeight="1" x14ac:dyDescent="0.25">
      <c r="A1973" s="121"/>
      <c r="B1973" s="23"/>
      <c r="C1973" s="60"/>
      <c r="D1973" s="55" t="str">
        <f>+B1961</f>
        <v>Segufer I</v>
      </c>
      <c r="E1973" s="64"/>
      <c r="F1973" s="483"/>
      <c r="G1973" s="484">
        <f>+J1963</f>
        <v>0</v>
      </c>
      <c r="H1973" s="51">
        <f>IF(DAY(H1972)=DAY($H$1970),IF(WEEKDAY(EDATE(H1972,$D$1982),3)&lt;5,EDATE(H1972,$D$1982),WORKDAY(EDATE(H1972,$D$1982),1)),IF(WEEKDAY(EDATE($H$1970,$D$1982*COUNT($H$1970:H1972)),3)&lt;5,EDATE($H$1970,$D$1982*COUNT($H$1970:H1972)),WORKDAY(EDATE($H$1970,$D$1982*COUNT($H$1970:H1972)),1)))</f>
        <v>43664</v>
      </c>
      <c r="I1973" s="71" t="s">
        <v>13</v>
      </c>
      <c r="J1973" s="52">
        <v>1038575.4166666666</v>
      </c>
      <c r="K1973" s="52">
        <f t="shared" si="198"/>
        <v>720000</v>
      </c>
      <c r="L1973" s="53">
        <f t="shared" si="199"/>
        <v>6560000</v>
      </c>
      <c r="M1973" s="94">
        <f t="shared" si="200"/>
        <v>1758575.4166666665</v>
      </c>
      <c r="N1973" s="25"/>
      <c r="O1973" s="195"/>
    </row>
    <row r="1974" spans="1:17" ht="15.95" customHeight="1" x14ac:dyDescent="0.25">
      <c r="A1974" s="121"/>
      <c r="B1974" s="32"/>
      <c r="D1974" s="644"/>
      <c r="E1974" s="660"/>
      <c r="F1974" s="483"/>
      <c r="G1974" s="484"/>
      <c r="H1974" s="51">
        <f>IF(DAY(H1973)=DAY($H$1970),IF(WEEKDAY(EDATE(H1973,$D$1982),3)&lt;5,EDATE(H1973,$D$1982),WORKDAY(EDATE(H1973,$D$1982),1)),IF(WEEKDAY(EDATE($H$1970,$D$1982*COUNT($H$1970:H1973)),3)&lt;5,EDATE($H$1970,$D$1982*COUNT($H$1970:H1973)),WORKDAY(EDATE($H$1970,$D$1982*COUNT($H$1970:H1973)),1)))</f>
        <v>43756</v>
      </c>
      <c r="I1974" s="71" t="s">
        <v>13</v>
      </c>
      <c r="J1974" s="52">
        <v>1012153.3333333333</v>
      </c>
      <c r="K1974" s="52">
        <f t="shared" si="198"/>
        <v>720000</v>
      </c>
      <c r="L1974" s="53">
        <f t="shared" si="199"/>
        <v>5840000</v>
      </c>
      <c r="M1974" s="94">
        <f t="shared" si="200"/>
        <v>1732153.3333333333</v>
      </c>
      <c r="N1974" s="25"/>
      <c r="O1974" s="197">
        <f>+M2127</f>
        <v>-2000000</v>
      </c>
      <c r="P1974" s="197">
        <f>-M2127</f>
        <v>2000000</v>
      </c>
      <c r="Q1974" s="197"/>
    </row>
    <row r="1975" spans="1:17" ht="15.95" customHeight="1" x14ac:dyDescent="0.25">
      <c r="A1975" s="121"/>
      <c r="B1975" s="23"/>
      <c r="C1975" s="638" t="s">
        <v>36</v>
      </c>
      <c r="D1975" s="640"/>
      <c r="E1975" s="36"/>
      <c r="F1975" s="483"/>
      <c r="G1975" s="484"/>
      <c r="H1975" s="51">
        <f>IF(DAY(H1974)=DAY($H$1970),IF(WEEKDAY(EDATE(H1974,$D$1982),3)&lt;5,EDATE(H1974,$D$1982),WORKDAY(EDATE(H1974,$D$1982),1)),IF(WEEKDAY(EDATE($H$1970,$D$1982*COUNT($H$1970:H1974)),3)&lt;5,EDATE($H$1970,$D$1982*COUNT($H$1970:H1974)),WORKDAY(EDATE($H$1970,$D$1982*COUNT($H$1970:H1974)),1)))</f>
        <v>43850</v>
      </c>
      <c r="I1975" s="71" t="s">
        <v>13</v>
      </c>
      <c r="J1975" s="52">
        <v>843930.69444444438</v>
      </c>
      <c r="K1975" s="52">
        <f t="shared" si="198"/>
        <v>720000</v>
      </c>
      <c r="L1975" s="53">
        <f t="shared" si="199"/>
        <v>5120000</v>
      </c>
      <c r="M1975" s="94">
        <f t="shared" si="200"/>
        <v>1563930.6944444445</v>
      </c>
      <c r="N1975" s="25"/>
      <c r="O1975" s="197">
        <f>+M2128+O1974</f>
        <v>-1181739.5833333335</v>
      </c>
      <c r="P1975" s="197">
        <f>+(M2128/(1+$J$2135)^((H2128-$H$2127)/365))/$P$1974</f>
        <v>0.4091302083333333</v>
      </c>
      <c r="Q1975" s="197">
        <f>+P1975*((H2128-$H$2127)/365)</f>
        <v>0.20512555650684933</v>
      </c>
    </row>
    <row r="1976" spans="1:17" ht="15.95" customHeight="1" x14ac:dyDescent="0.25">
      <c r="A1976" s="121"/>
      <c r="B1976" s="23"/>
      <c r="C1976" s="59"/>
      <c r="D1976" s="62"/>
      <c r="E1976" s="36"/>
      <c r="F1976" s="483"/>
      <c r="G1976" s="484"/>
      <c r="H1976" s="51">
        <f>IF(DAY(H1975)=DAY($H$1970),IF(WEEKDAY(EDATE(H1975,$D$1982),3)&lt;5,EDATE(H1975,$D$1982),WORKDAY(EDATE(H1975,$D$1982),1)),IF(WEEKDAY(EDATE($H$1970,$D$1982*COUNT($H$1970:H1975)),3)&lt;5,EDATE($H$1970,$D$1982*COUNT($H$1970:H1975)),WORKDAY(EDATE($H$1970,$D$1982*COUNT($H$1970:H1975)),1)))</f>
        <v>43941</v>
      </c>
      <c r="I1976" s="71" t="s">
        <v>13</v>
      </c>
      <c r="J1976" s="52">
        <v>518497.77777777781</v>
      </c>
      <c r="K1976" s="52">
        <f t="shared" si="198"/>
        <v>720000</v>
      </c>
      <c r="L1976" s="53">
        <f t="shared" si="199"/>
        <v>4400000</v>
      </c>
      <c r="M1976" s="94">
        <f t="shared" si="200"/>
        <v>1238497.7777777778</v>
      </c>
      <c r="N1976" s="25"/>
      <c r="O1976" s="197">
        <f>+M2129+O1975</f>
        <v>-523953.64583333349</v>
      </c>
      <c r="P1976" s="197">
        <f>+(M2129/(1+$J$2135)^((H2129-$H$2127)/365))/$P$1974</f>
        <v>0.32889296875000001</v>
      </c>
      <c r="Q1976" s="197">
        <f>+P1976*((H2129-$H$2127)/365)</f>
        <v>0.32979404537671236</v>
      </c>
    </row>
    <row r="1977" spans="1:17" ht="15.95" customHeight="1" x14ac:dyDescent="0.25">
      <c r="A1977" s="121"/>
      <c r="B1977" s="23"/>
      <c r="C1977" s="59" t="s">
        <v>9</v>
      </c>
      <c r="D1977" s="98" t="s">
        <v>18</v>
      </c>
      <c r="E1977" s="36"/>
      <c r="F1977" s="483"/>
      <c r="G1977" s="484"/>
      <c r="H1977" s="51">
        <f>IF(DAY(H1976)=DAY($H$1970),IF(WEEKDAY(EDATE(H1976,$D$1982),3)&lt;5,EDATE(H1976,$D$1982),WORKDAY(EDATE(H1976,$D$1982),1)),IF(WEEKDAY(EDATE($H$1970,$D$1982*COUNT($H$1970:H1976)),3)&lt;5,EDATE($H$1970,$D$1982*COUNT($H$1970:H1976)),WORKDAY(EDATE($H$1970,$D$1982*COUNT($H$1970:H1976)),1)))</f>
        <v>44032</v>
      </c>
      <c r="I1977" s="71" t="s">
        <v>13</v>
      </c>
      <c r="J1977" s="52">
        <v>379545.83333333337</v>
      </c>
      <c r="K1977" s="52">
        <f t="shared" si="198"/>
        <v>720000</v>
      </c>
      <c r="L1977" s="53">
        <f t="shared" si="199"/>
        <v>3680000</v>
      </c>
      <c r="M1977" s="94">
        <f t="shared" si="200"/>
        <v>1099545.8333333335</v>
      </c>
      <c r="N1977" s="25"/>
      <c r="O1977" s="197">
        <f>+M2130+O1976</f>
        <v>556629.68749999977</v>
      </c>
      <c r="P1977" s="197">
        <f>+(M2130/(1+$J$2135)^((H2130-$H$2127)/365))/$P$1974</f>
        <v>0.54029166666666661</v>
      </c>
      <c r="Q1977" s="197">
        <f>+P1977*((H2130-$H$2127)/365)</f>
        <v>0.81561837899543366</v>
      </c>
    </row>
    <row r="1978" spans="1:17" ht="15.95" customHeight="1" x14ac:dyDescent="0.25">
      <c r="A1978" s="121"/>
      <c r="B1978" s="23"/>
      <c r="C1978" s="59" t="s">
        <v>10</v>
      </c>
      <c r="D1978" s="65">
        <v>43385</v>
      </c>
      <c r="E1978" s="36"/>
      <c r="F1978" s="483"/>
      <c r="G1978" s="484"/>
      <c r="H1978" s="51">
        <f>IF(DAY(H1977)=DAY($H$1970),IF(WEEKDAY(EDATE(H1977,$D$1982),3)&lt;5,EDATE(H1977,$D$1982),WORKDAY(EDATE(H1977,$D$1982),1)),IF(WEEKDAY(EDATE($H$1970,$D$1982*COUNT($H$1970:H1977)),3)&lt;5,EDATE($H$1970,$D$1982*COUNT($H$1970:H1977)),WORKDAY(EDATE($H$1970,$D$1982*COUNT($H$1970:H1977)),1)))</f>
        <v>44123</v>
      </c>
      <c r="I1978" s="71" t="s">
        <v>13</v>
      </c>
      <c r="J1978" s="52">
        <v>317438.33333333337</v>
      </c>
      <c r="K1978" s="52">
        <f t="shared" si="198"/>
        <v>720000</v>
      </c>
      <c r="L1978" s="53">
        <f t="shared" si="199"/>
        <v>2960000</v>
      </c>
      <c r="M1978" s="94">
        <f t="shared" si="200"/>
        <v>1037438.3333333334</v>
      </c>
      <c r="N1978" s="25"/>
      <c r="O1978" s="197">
        <f>+M2131+O1977</f>
        <v>1494646.3541666665</v>
      </c>
      <c r="P1978" s="197">
        <f>+(M2131/(1+$J$2135)^((H2131-$H$2127)/365))/$P$1974</f>
        <v>0.46900833333333336</v>
      </c>
      <c r="Q1978" s="197">
        <f>+P1978*((H2131-$H$2127)/365)</f>
        <v>0.94187152968036525</v>
      </c>
    </row>
    <row r="1979" spans="1:17" ht="15.95" customHeight="1" x14ac:dyDescent="0.25">
      <c r="A1979" s="121"/>
      <c r="B1979" s="23"/>
      <c r="C1979" s="59" t="s">
        <v>11</v>
      </c>
      <c r="D1979" s="65">
        <v>43391</v>
      </c>
      <c r="E1979" s="36"/>
      <c r="F1979" s="483"/>
      <c r="G1979" s="484"/>
      <c r="H1979" s="51">
        <f>IF(DAY(H1978)=DAY($H$1970),IF(WEEKDAY(EDATE(H1978,$D$1982),3)&lt;5,EDATE(H1978,$D$1982),WORKDAY(EDATE(H1978,$D$1982),1)),IF(WEEKDAY(EDATE($H$1970,$D$1982*COUNT($H$1970:H1978)),3)&lt;5,EDATE($H$1970,$D$1982*COUNT($H$1970:H1978)),WORKDAY(EDATE($H$1970,$D$1982*COUNT($H$1970:H1978)),1)))</f>
        <v>44214</v>
      </c>
      <c r="I1979" s="71" t="s">
        <v>13</v>
      </c>
      <c r="J1979" s="52">
        <v>255330.83333333334</v>
      </c>
      <c r="K1979" s="52">
        <f t="shared" si="198"/>
        <v>720000</v>
      </c>
      <c r="L1979" s="53">
        <f t="shared" si="199"/>
        <v>2240000</v>
      </c>
      <c r="M1979" s="94">
        <f t="shared" si="200"/>
        <v>975330.83333333337</v>
      </c>
      <c r="N1979" s="25"/>
      <c r="O1979" s="197"/>
      <c r="P1979" s="197"/>
      <c r="Q1979" s="197"/>
    </row>
    <row r="1980" spans="1:17" ht="15.95" customHeight="1" x14ac:dyDescent="0.25">
      <c r="A1980" s="121"/>
      <c r="B1980" s="23"/>
      <c r="C1980" s="59" t="s">
        <v>12</v>
      </c>
      <c r="D1980" s="65">
        <v>44487</v>
      </c>
      <c r="E1980" s="36"/>
      <c r="F1980" s="483"/>
      <c r="G1980" s="484"/>
      <c r="H1980" s="51">
        <f>IF(DAY(H1979)=DAY($H$1970),IF(WEEKDAY(EDATE(H1979,$D$1982),3)&lt;5,EDATE(H1979,$D$1982),WORKDAY(EDATE(H1979,$D$1982),1)),IF(WEEKDAY(EDATE($H$1970,$D$1982*COUNT($H$1970:H1979)),3)&lt;5,EDATE($H$1970,$D$1982*COUNT($H$1970:H1979)),WORKDAY(EDATE($H$1970,$D$1982*COUNT($H$1970:H1979)),1)))</f>
        <v>44305</v>
      </c>
      <c r="I1980" s="71" t="s">
        <v>13</v>
      </c>
      <c r="J1980" s="52">
        <v>193223.33333333334</v>
      </c>
      <c r="K1980" s="52">
        <f t="shared" si="198"/>
        <v>720000</v>
      </c>
      <c r="L1980" s="53">
        <f t="shared" si="199"/>
        <v>1520000</v>
      </c>
      <c r="M1980" s="94">
        <f t="shared" si="200"/>
        <v>913223.33333333337</v>
      </c>
      <c r="N1980" s="25"/>
      <c r="O1980" s="197"/>
      <c r="P1980" s="197"/>
      <c r="Q1980" s="197"/>
    </row>
    <row r="1981" spans="1:17" ht="15.95" customHeight="1" x14ac:dyDescent="0.25">
      <c r="A1981" s="121"/>
      <c r="B1981" s="23"/>
      <c r="C1981" s="59" t="s">
        <v>27</v>
      </c>
      <c r="D1981" s="66">
        <v>8000000</v>
      </c>
      <c r="E1981" s="41"/>
      <c r="F1981" s="480"/>
      <c r="G1981" s="484"/>
      <c r="H1981" s="51">
        <f>IF(DAY(H1980)=DAY($H$1970),IF(WEEKDAY(EDATE(H1980,$D$1982),3)&lt;5,EDATE(H1980,$D$1982),WORKDAY(EDATE(H1980,$D$1982),1)),IF(WEEKDAY(EDATE($H$1970,$D$1982*COUNT($H$1970:H1980)),3)&lt;5,EDATE($H$1970,$D$1982*COUNT($H$1970:H1980)),WORKDAY(EDATE($H$1970,$D$1982*COUNT($H$1970:H1980)),1)))</f>
        <v>44396</v>
      </c>
      <c r="I1981" s="71" t="s">
        <v>13</v>
      </c>
      <c r="J1981" s="52">
        <v>131115.83333333334</v>
      </c>
      <c r="K1981" s="52">
        <f t="shared" si="198"/>
        <v>720000</v>
      </c>
      <c r="L1981" s="53">
        <f t="shared" si="199"/>
        <v>800000</v>
      </c>
      <c r="M1981" s="94">
        <f t="shared" si="200"/>
        <v>851115.83333333337</v>
      </c>
      <c r="N1981" s="25"/>
      <c r="O1981" s="197"/>
      <c r="P1981" s="29"/>
    </row>
    <row r="1982" spans="1:17" ht="15.95" customHeight="1" x14ac:dyDescent="0.25">
      <c r="A1982" s="121"/>
      <c r="B1982" s="23"/>
      <c r="C1982" s="59" t="s">
        <v>26</v>
      </c>
      <c r="D1982" s="66">
        <v>3</v>
      </c>
      <c r="E1982" s="36"/>
      <c r="F1982" s="480"/>
      <c r="G1982" s="484"/>
      <c r="H1982" s="51">
        <f>IF(DAY(H1981)=DAY($H$1970),IF(WEEKDAY(EDATE(H1981,$D$1982),3)&lt;5,EDATE(H1981,$D$1982),WORKDAY(EDATE(H1981,$D$1982),1)),IF(WEEKDAY(EDATE($H$1970,$D$1982*COUNT($H$1970:H1981)),3)&lt;5,EDATE($H$1970,$D$1982*COUNT($H$1970:H1981)),WORKDAY(EDATE($H$1970,$D$1982*COUNT($H$1970:H1981)),1)))</f>
        <v>44487</v>
      </c>
      <c r="I1982" s="71" t="s">
        <v>13</v>
      </c>
      <c r="J1982" s="52">
        <v>69008.333333333343</v>
      </c>
      <c r="K1982" s="52">
        <f>+IF(OR(I1982="A + C",I1982="A"),$D$1981*$D$1988,0)</f>
        <v>800000</v>
      </c>
      <c r="L1982" s="53">
        <f t="shared" si="199"/>
        <v>0</v>
      </c>
      <c r="M1982" s="94">
        <f t="shared" si="200"/>
        <v>869008.33333333337</v>
      </c>
      <c r="N1982" s="25"/>
      <c r="O1982" s="197"/>
      <c r="P1982" s="29"/>
    </row>
    <row r="1983" spans="1:17" ht="15.95" customHeight="1" x14ac:dyDescent="0.25">
      <c r="A1983" s="121"/>
      <c r="B1983" s="23"/>
      <c r="C1983" s="59" t="s">
        <v>19</v>
      </c>
      <c r="D1983" s="67" t="s">
        <v>20</v>
      </c>
      <c r="E1983" s="43"/>
      <c r="F1983" s="480"/>
      <c r="G1983" s="484"/>
      <c r="H1983" s="54"/>
      <c r="I1983" s="104"/>
      <c r="J1983" s="105"/>
      <c r="K1983" s="105"/>
      <c r="L1983" s="106"/>
      <c r="M1983" s="109"/>
      <c r="N1983" s="25"/>
      <c r="O1983" s="197"/>
      <c r="P1983" s="29"/>
    </row>
    <row r="1984" spans="1:17" ht="15.95" customHeight="1" x14ac:dyDescent="0.25">
      <c r="A1984" s="121"/>
      <c r="B1984" s="23"/>
      <c r="C1984" s="59" t="s">
        <v>14</v>
      </c>
      <c r="D1984" s="68">
        <v>0.08</v>
      </c>
      <c r="E1984" s="43"/>
      <c r="F1984" s="480"/>
      <c r="G1984" s="484"/>
      <c r="H1984" s="109"/>
      <c r="I1984" s="109"/>
      <c r="J1984" s="109"/>
      <c r="K1984" s="109"/>
      <c r="L1984" s="109"/>
      <c r="M1984" s="109"/>
      <c r="N1984" s="25"/>
      <c r="O1984" s="197"/>
    </row>
    <row r="1985" spans="1:16" ht="15.95" customHeight="1" x14ac:dyDescent="0.25">
      <c r="A1985" s="121"/>
      <c r="B1985" s="23"/>
      <c r="C1985" s="59" t="s">
        <v>31</v>
      </c>
      <c r="D1985" s="68"/>
      <c r="E1985" s="43"/>
      <c r="F1985" s="480"/>
      <c r="G1985" s="484"/>
      <c r="H1985" s="656" t="s">
        <v>43</v>
      </c>
      <c r="I1985" s="656"/>
      <c r="J1985" s="92">
        <v>0</v>
      </c>
      <c r="K1985" s="92"/>
      <c r="L1985" s="24"/>
      <c r="M1985" s="24"/>
      <c r="N1985" s="25"/>
      <c r="O1985" s="197"/>
      <c r="P1985" s="37"/>
    </row>
    <row r="1986" spans="1:16" ht="15.95" customHeight="1" x14ac:dyDescent="0.25">
      <c r="A1986" s="121"/>
      <c r="B1986" s="23"/>
      <c r="C1986" s="59" t="s">
        <v>32</v>
      </c>
      <c r="D1986" s="68"/>
      <c r="E1986" s="44"/>
      <c r="F1986" s="480"/>
      <c r="G1986" s="484"/>
      <c r="H1986" s="657"/>
      <c r="I1986" s="657"/>
      <c r="J1986" s="392"/>
      <c r="K1986" s="24"/>
      <c r="L1986" s="33"/>
      <c r="M1986" s="33"/>
      <c r="N1986" s="25"/>
      <c r="O1986" s="197"/>
    </row>
    <row r="1987" spans="1:16" ht="15.95" customHeight="1" x14ac:dyDescent="0.25">
      <c r="A1987" s="121"/>
      <c r="B1987" s="23"/>
      <c r="C1987" s="59" t="s">
        <v>80</v>
      </c>
      <c r="D1987" s="68">
        <v>0.09</v>
      </c>
      <c r="E1987" s="24"/>
      <c r="F1987" s="480"/>
      <c r="G1987" s="484"/>
      <c r="H1987" s="24"/>
      <c r="I1987" s="24"/>
      <c r="J1987" s="24"/>
      <c r="K1987" s="24"/>
      <c r="L1987" s="24"/>
      <c r="M1987" s="24"/>
      <c r="N1987" s="25"/>
      <c r="O1987" s="195"/>
    </row>
    <row r="1988" spans="1:16" ht="15.95" customHeight="1" x14ac:dyDescent="0.25">
      <c r="A1988" s="121"/>
      <c r="B1988" s="23"/>
      <c r="C1988" s="59" t="s">
        <v>55</v>
      </c>
      <c r="D1988" s="68">
        <v>0.1</v>
      </c>
      <c r="E1988" s="24"/>
      <c r="F1988" s="480"/>
      <c r="G1988" s="484"/>
      <c r="H1988" s="638" t="s">
        <v>44</v>
      </c>
      <c r="I1988" s="639"/>
      <c r="J1988" s="639"/>
      <c r="K1988" s="639"/>
      <c r="L1988" s="639"/>
      <c r="M1988" s="640"/>
      <c r="N1988" s="25"/>
      <c r="O1988" s="195"/>
    </row>
    <row r="1989" spans="1:16" ht="15.95" customHeight="1" x14ac:dyDescent="0.25">
      <c r="A1989" s="121"/>
      <c r="B1989" s="23"/>
      <c r="C1989" s="60"/>
      <c r="D1989" s="110"/>
      <c r="E1989" s="24"/>
      <c r="F1989" s="480"/>
      <c r="G1989" s="484"/>
      <c r="H1989" s="23"/>
      <c r="I1989" s="24"/>
      <c r="J1989" s="24"/>
      <c r="K1989" s="24"/>
      <c r="L1989" s="24"/>
      <c r="M1989" s="25"/>
      <c r="N1989" s="25"/>
      <c r="O1989" s="195"/>
    </row>
    <row r="1990" spans="1:16" ht="15.95" customHeight="1" x14ac:dyDescent="0.25">
      <c r="A1990" s="121"/>
      <c r="B1990" s="23"/>
      <c r="C1990" s="24"/>
      <c r="D1990" s="24"/>
      <c r="E1990" s="24"/>
      <c r="F1990" s="480"/>
      <c r="G1990" s="485"/>
      <c r="H1990" s="23"/>
      <c r="I1990" s="24"/>
      <c r="J1990" s="24"/>
      <c r="K1990" s="24"/>
      <c r="L1990" s="24"/>
      <c r="M1990" s="25"/>
      <c r="N1990" s="25"/>
      <c r="O1990" s="195"/>
    </row>
    <row r="1991" spans="1:16" ht="15.95" customHeight="1" x14ac:dyDescent="0.25">
      <c r="A1991" s="121"/>
      <c r="B1991" s="23"/>
      <c r="C1991" s="24"/>
      <c r="D1991" s="24"/>
      <c r="E1991" s="24"/>
      <c r="F1991" s="480"/>
      <c r="G1991" s="485"/>
      <c r="H1991" s="96"/>
      <c r="I1991" s="35"/>
      <c r="J1991" s="24"/>
      <c r="K1991" s="24"/>
      <c r="L1991" s="24"/>
      <c r="M1991" s="25"/>
      <c r="N1991" s="25"/>
      <c r="O1991" s="195"/>
    </row>
    <row r="1992" spans="1:16" ht="15.95" customHeight="1" x14ac:dyDescent="0.25">
      <c r="A1992" s="121"/>
      <c r="B1992" s="23"/>
      <c r="C1992" s="24"/>
      <c r="D1992" s="24"/>
      <c r="E1992" s="24"/>
      <c r="F1992" s="480"/>
      <c r="G1992" s="485"/>
      <c r="H1992" s="23"/>
      <c r="I1992" s="24"/>
      <c r="J1992" s="24"/>
      <c r="K1992" s="24"/>
      <c r="L1992" s="24"/>
      <c r="M1992" s="25"/>
      <c r="N1992" s="25"/>
      <c r="O1992" s="195"/>
    </row>
    <row r="1993" spans="1:16" ht="15.95" customHeight="1" x14ac:dyDescent="0.25">
      <c r="A1993" s="121"/>
      <c r="B1993" s="23"/>
      <c r="C1993" s="24"/>
      <c r="D1993" s="24"/>
      <c r="E1993" s="24"/>
      <c r="F1993" s="480"/>
      <c r="G1993" s="485"/>
      <c r="H1993" s="23"/>
      <c r="I1993" s="24"/>
      <c r="J1993" s="24"/>
      <c r="K1993" s="24"/>
      <c r="L1993" s="24"/>
      <c r="M1993" s="25"/>
      <c r="N1993" s="25"/>
      <c r="O1993" s="195"/>
    </row>
    <row r="1994" spans="1:16" ht="15.95" customHeight="1" x14ac:dyDescent="0.25">
      <c r="A1994" s="121"/>
      <c r="B1994" s="23"/>
      <c r="C1994" s="24"/>
      <c r="D1994" s="24"/>
      <c r="E1994" s="24"/>
      <c r="F1994" s="480"/>
      <c r="G1994" s="485"/>
      <c r="H1994" s="23"/>
      <c r="I1994" s="24"/>
      <c r="J1994" s="24"/>
      <c r="K1994" s="24"/>
      <c r="L1994" s="24"/>
      <c r="M1994" s="25"/>
      <c r="N1994" s="25"/>
      <c r="O1994" s="195"/>
    </row>
    <row r="1995" spans="1:16" ht="15.95" customHeight="1" x14ac:dyDescent="0.25">
      <c r="A1995" s="121"/>
      <c r="B1995" s="23"/>
      <c r="C1995" s="24"/>
      <c r="D1995" s="24"/>
      <c r="E1995" s="24"/>
      <c r="F1995" s="480"/>
      <c r="G1995" s="485"/>
      <c r="H1995" s="23"/>
      <c r="I1995" s="24"/>
      <c r="J1995" s="24"/>
      <c r="K1995" s="24"/>
      <c r="L1995" s="24"/>
      <c r="M1995" s="25"/>
      <c r="N1995" s="25"/>
      <c r="O1995" s="195"/>
    </row>
    <row r="1996" spans="1:16" ht="15.95" customHeight="1" x14ac:dyDescent="0.25">
      <c r="A1996" s="121"/>
      <c r="B1996" s="23"/>
      <c r="C1996" s="24"/>
      <c r="D1996" s="24"/>
      <c r="E1996" s="24"/>
      <c r="F1996" s="480"/>
      <c r="G1996" s="485"/>
      <c r="H1996" s="23"/>
      <c r="I1996" s="24"/>
      <c r="J1996" s="24"/>
      <c r="K1996" s="24"/>
      <c r="L1996" s="24"/>
      <c r="M1996" s="25"/>
      <c r="N1996" s="25"/>
      <c r="O1996" s="195"/>
    </row>
    <row r="1997" spans="1:16" ht="15.95" customHeight="1" x14ac:dyDescent="0.25">
      <c r="A1997" s="121"/>
      <c r="B1997" s="23"/>
      <c r="C1997" s="24"/>
      <c r="D1997" s="24"/>
      <c r="E1997" s="24"/>
      <c r="F1997" s="480"/>
      <c r="G1997" s="485"/>
      <c r="H1997" s="23"/>
      <c r="I1997" s="24"/>
      <c r="J1997" s="24"/>
      <c r="K1997" s="24"/>
      <c r="L1997" s="24"/>
      <c r="M1997" s="25"/>
      <c r="N1997" s="25"/>
      <c r="O1997" s="195"/>
    </row>
    <row r="1998" spans="1:16" ht="15.95" customHeight="1" x14ac:dyDescent="0.25">
      <c r="A1998" s="121"/>
      <c r="B1998" s="23"/>
      <c r="C1998" s="24"/>
      <c r="D1998" s="24"/>
      <c r="E1998" s="24"/>
      <c r="F1998" s="480"/>
      <c r="G1998" s="485"/>
      <c r="H1998" s="23"/>
      <c r="I1998" s="24"/>
      <c r="J1998" s="24"/>
      <c r="K1998" s="24"/>
      <c r="L1998" s="24"/>
      <c r="M1998" s="25"/>
      <c r="N1998" s="25"/>
      <c r="O1998" s="195"/>
    </row>
    <row r="1999" spans="1:16" ht="15.95" customHeight="1" x14ac:dyDescent="0.25">
      <c r="A1999" s="121"/>
      <c r="B1999" s="23"/>
      <c r="C1999" s="24"/>
      <c r="D1999" s="24"/>
      <c r="E1999" s="24"/>
      <c r="F1999" s="480"/>
      <c r="G1999" s="485"/>
      <c r="H1999" s="23"/>
      <c r="I1999" s="24"/>
      <c r="J1999" s="24"/>
      <c r="K1999" s="24"/>
      <c r="L1999" s="24"/>
      <c r="M1999" s="25"/>
      <c r="N1999" s="25"/>
      <c r="O1999" s="195"/>
    </row>
    <row r="2000" spans="1:16" ht="15.95" customHeight="1" x14ac:dyDescent="0.25">
      <c r="A2000" s="121"/>
      <c r="B2000" s="23"/>
      <c r="C2000" s="24"/>
      <c r="D2000" s="24"/>
      <c r="E2000" s="24"/>
      <c r="F2000" s="480"/>
      <c r="G2000" s="485"/>
      <c r="H2000" s="23"/>
      <c r="I2000" s="24"/>
      <c r="J2000" s="24"/>
      <c r="K2000" s="24"/>
      <c r="L2000" s="24"/>
      <c r="M2000" s="25"/>
      <c r="N2000" s="25"/>
      <c r="O2000" s="195"/>
    </row>
    <row r="2001" spans="1:17" ht="20.100000000000001" customHeight="1" x14ac:dyDescent="0.25">
      <c r="A2001" s="121"/>
      <c r="B2001" s="23"/>
      <c r="C2001" s="24"/>
      <c r="D2001" s="24"/>
      <c r="E2001" s="24"/>
      <c r="F2001" s="480"/>
      <c r="G2001" s="485"/>
      <c r="H2001" s="26"/>
      <c r="I2001" s="27"/>
      <c r="J2001" s="27"/>
      <c r="K2001" s="27"/>
      <c r="L2001" s="27"/>
      <c r="M2001" s="28"/>
      <c r="N2001" s="25"/>
      <c r="O2001" s="195"/>
    </row>
    <row r="2002" spans="1:17" ht="15.95" customHeight="1" x14ac:dyDescent="0.25">
      <c r="A2002" s="121"/>
      <c r="B2002" s="26"/>
      <c r="C2002" s="27"/>
      <c r="D2002" s="27"/>
      <c r="E2002" s="27"/>
      <c r="F2002" s="481"/>
      <c r="G2002" s="486"/>
      <c r="H2002" s="27"/>
      <c r="I2002" s="27"/>
      <c r="J2002" s="27"/>
      <c r="K2002" s="27"/>
      <c r="L2002" s="27"/>
      <c r="M2002" s="27"/>
      <c r="N2002" s="28"/>
      <c r="O2002" s="195"/>
    </row>
    <row r="2003" spans="1:17" ht="15.95" customHeight="1" x14ac:dyDescent="0.25">
      <c r="A2003" s="121"/>
      <c r="B2003" s="635" t="s">
        <v>178</v>
      </c>
      <c r="C2003" s="636"/>
      <c r="D2003" s="636"/>
      <c r="E2003" s="636"/>
      <c r="F2003" s="636"/>
      <c r="G2003" s="636"/>
      <c r="H2003" s="636"/>
      <c r="I2003" s="636"/>
      <c r="J2003" s="636"/>
      <c r="K2003" s="636"/>
      <c r="L2003" s="636"/>
      <c r="M2003" s="636"/>
      <c r="N2003" s="637"/>
      <c r="O2003" s="195"/>
    </row>
    <row r="2004" spans="1:17" ht="15.95" customHeight="1" x14ac:dyDescent="0.25">
      <c r="A2004" s="121"/>
      <c r="B2004" s="23"/>
      <c r="C2004" s="24"/>
      <c r="D2004" s="24"/>
      <c r="E2004" s="24"/>
      <c r="F2004" s="483"/>
      <c r="G2004" s="484"/>
      <c r="H2004" s="31"/>
      <c r="I2004" s="31"/>
      <c r="J2004" s="24"/>
      <c r="K2004" s="24"/>
      <c r="L2004" s="24"/>
      <c r="M2004" s="24"/>
      <c r="N2004" s="25"/>
      <c r="O2004" s="195"/>
    </row>
    <row r="2005" spans="1:17" ht="15.95" customHeight="1" x14ac:dyDescent="0.25">
      <c r="A2005" s="121"/>
      <c r="B2005" s="23"/>
      <c r="C2005" s="638" t="s">
        <v>37</v>
      </c>
      <c r="D2005" s="639"/>
      <c r="E2005" s="640"/>
      <c r="F2005" s="483"/>
      <c r="G2005" s="484"/>
      <c r="H2005" s="641" t="s">
        <v>28</v>
      </c>
      <c r="I2005" s="642"/>
      <c r="J2005" s="39">
        <f>+$D$2023-SUMIF($H$2011:$H$2025,"&lt;"&amp;$M$4,$K$2011:$K$2025)</f>
        <v>0</v>
      </c>
      <c r="K2005" s="24"/>
      <c r="L2005" s="24"/>
      <c r="M2005" s="24"/>
      <c r="N2005" s="25"/>
      <c r="O2005" s="195"/>
    </row>
    <row r="2006" spans="1:17" ht="15.95" customHeight="1" x14ac:dyDescent="0.25">
      <c r="A2006" s="121"/>
      <c r="B2006" s="23"/>
      <c r="C2006" s="58"/>
      <c r="D2006" s="664"/>
      <c r="E2006" s="665"/>
      <c r="F2006" s="483"/>
      <c r="G2006" s="484"/>
      <c r="H2006" s="645" t="s">
        <v>29</v>
      </c>
      <c r="I2006" s="646"/>
      <c r="J2006" s="40">
        <f>+$D$2022</f>
        <v>44611</v>
      </c>
      <c r="K2006" s="24"/>
      <c r="L2006" s="24"/>
      <c r="M2006" s="24"/>
      <c r="N2006" s="25"/>
      <c r="O2006" s="195"/>
    </row>
    <row r="2007" spans="1:17" ht="15.95" customHeight="1" x14ac:dyDescent="0.25">
      <c r="A2007" s="121"/>
      <c r="B2007" s="23"/>
      <c r="C2007" s="59" t="s">
        <v>25</v>
      </c>
      <c r="D2007" s="658"/>
      <c r="E2007" s="659"/>
      <c r="F2007" s="483"/>
      <c r="G2007" s="484"/>
      <c r="H2007" s="649" t="s">
        <v>30</v>
      </c>
      <c r="I2007" s="650"/>
      <c r="J2007" s="42" t="str">
        <f t="array" ref="J2007">+IF(H2024&gt;=M4,MIN(IF(H2011:H2025&gt;=$M$4,H2011:H2025,"")),"vencida")</f>
        <v>vencida</v>
      </c>
      <c r="K2007" s="24"/>
      <c r="L2007" s="24"/>
      <c r="M2007" s="24"/>
      <c r="N2007" s="25"/>
      <c r="O2007" s="194" t="str">
        <f>+D2158</f>
        <v>ON Pyme CNV Garantizada</v>
      </c>
    </row>
    <row r="2008" spans="1:17" ht="15.95" customHeight="1" x14ac:dyDescent="0.25">
      <c r="A2008" s="121"/>
      <c r="B2008" s="23"/>
      <c r="C2008" s="59" t="s">
        <v>6</v>
      </c>
      <c r="D2008" s="658" t="s">
        <v>177</v>
      </c>
      <c r="E2008" s="659"/>
      <c r="F2008" s="483"/>
      <c r="G2008" s="484"/>
      <c r="H2008" s="24"/>
      <c r="I2008" s="24"/>
      <c r="J2008" s="24"/>
      <c r="K2008" s="24"/>
      <c r="L2008" s="24"/>
      <c r="M2008" s="24"/>
      <c r="N2008" s="25"/>
      <c r="O2008" s="194" t="str">
        <f>+IF(J2156="vencida",IF(D2158='Reporte - Oscuro'!$C$40,'Reporte - Oscuro'!$C$40&amp;" vencida",IF(D2158='Reporte - Oscuro'!$C$41,'Reporte - Oscuro'!$C$41&amp;" vencida",IF(D2158='Reporte - Oscuro'!$C$42,'Reporte - Oscuro'!$C$42&amp;" vencida",'Reporte - Oscuro'!$C$43&amp;" vencida"))),D2158&amp;" vigente")</f>
        <v>ON Pyme CNV Garantizada vencida</v>
      </c>
    </row>
    <row r="2009" spans="1:17" ht="15.95" customHeight="1" x14ac:dyDescent="0.25">
      <c r="A2009" s="121"/>
      <c r="B2009" s="23"/>
      <c r="C2009" s="59" t="s">
        <v>8</v>
      </c>
      <c r="D2009" s="658" t="s">
        <v>17</v>
      </c>
      <c r="E2009" s="659"/>
      <c r="F2009" s="483"/>
      <c r="G2009" s="484"/>
      <c r="H2009" s="651" t="s">
        <v>41</v>
      </c>
      <c r="I2009" s="652"/>
      <c r="J2009" s="652"/>
      <c r="K2009" s="652"/>
      <c r="L2009" s="653"/>
      <c r="M2009" s="24"/>
      <c r="N2009" s="25"/>
      <c r="O2009" s="195"/>
    </row>
    <row r="2010" spans="1:17" ht="15.95" customHeight="1" x14ac:dyDescent="0.25">
      <c r="A2010" s="121"/>
      <c r="B2010" s="23"/>
      <c r="C2010" s="59" t="s">
        <v>33</v>
      </c>
      <c r="D2010" s="73" t="s">
        <v>303</v>
      </c>
      <c r="E2010" s="273">
        <v>1</v>
      </c>
      <c r="F2010" s="483">
        <f>+E2010*J2005</f>
        <v>0</v>
      </c>
      <c r="G2010" s="484"/>
      <c r="H2010" s="81" t="s">
        <v>0</v>
      </c>
      <c r="I2010" s="82" t="s">
        <v>2</v>
      </c>
      <c r="J2010" s="82" t="s">
        <v>3</v>
      </c>
      <c r="K2010" s="82" t="s">
        <v>4</v>
      </c>
      <c r="L2010" s="83" t="s">
        <v>5</v>
      </c>
      <c r="M2010" s="82" t="s">
        <v>44</v>
      </c>
      <c r="N2010" s="25"/>
      <c r="O2010" s="195"/>
    </row>
    <row r="2011" spans="1:17" ht="15.95" customHeight="1" x14ac:dyDescent="0.25">
      <c r="A2011" s="121"/>
      <c r="B2011" s="23"/>
      <c r="C2011" s="59" t="s">
        <v>34</v>
      </c>
      <c r="D2011" s="658" t="s">
        <v>35</v>
      </c>
      <c r="E2011" s="659"/>
      <c r="F2011" s="483"/>
      <c r="G2011" s="484"/>
      <c r="H2011" s="45"/>
      <c r="I2011" s="46"/>
      <c r="J2011" s="46"/>
      <c r="K2011" s="46"/>
      <c r="L2011" s="47"/>
      <c r="M2011" s="23"/>
      <c r="N2011" s="25"/>
      <c r="O2011" s="195"/>
    </row>
    <row r="2012" spans="1:17" ht="15.95" customHeight="1" x14ac:dyDescent="0.25">
      <c r="A2012" s="121"/>
      <c r="B2012" s="23"/>
      <c r="C2012" s="79" t="s">
        <v>38</v>
      </c>
      <c r="D2012" s="75"/>
      <c r="E2012" s="76"/>
      <c r="F2012" s="483"/>
      <c r="G2012" s="484"/>
      <c r="H2012" s="48">
        <f>+$D$2021</f>
        <v>43515</v>
      </c>
      <c r="I2012" s="70"/>
      <c r="J2012" s="49"/>
      <c r="K2012" s="49"/>
      <c r="L2012" s="50">
        <f>+D2023</f>
        <v>8000000</v>
      </c>
      <c r="M2012" s="93">
        <f>-L2012</f>
        <v>-8000000</v>
      </c>
      <c r="N2012" s="25"/>
      <c r="O2012" s="195"/>
    </row>
    <row r="2013" spans="1:17" ht="15.95" customHeight="1" x14ac:dyDescent="0.25">
      <c r="A2013" s="121"/>
      <c r="B2013" s="23"/>
      <c r="C2013" s="59"/>
      <c r="D2013" s="73"/>
      <c r="E2013" s="74"/>
      <c r="F2013" s="483"/>
      <c r="G2013" s="484"/>
      <c r="H2013" s="51">
        <f>IF(DAY(H2012)=DAY($H$2012),IF(WEEKDAY(EDATE(H2012,$D$2024),3)&lt;5,EDATE(H2012,$D$2024),WORKDAY(EDATE(H2012,$D$2024),1)),IF(WEEKDAY(EDATE($H$2012,$D$2024*COUNT($H$2012:H2012)),3)&lt;5,EDATE($H$2012,$D$2024*COUNT($H$2012:H2012)),WORKDAY(EDATE($H$2012,$D$2024*COUNT($H$2012:H2012)),1)))</f>
        <v>43605</v>
      </c>
      <c r="I2013" s="71" t="s">
        <v>7</v>
      </c>
      <c r="J2013" s="52">
        <v>1066250</v>
      </c>
      <c r="K2013" s="52">
        <f t="shared" ref="K2013:K2023" si="201">+IF(OR(I2013="A + C",I2013="A"),$D$2023*$D$2029,0)</f>
        <v>0</v>
      </c>
      <c r="L2013" s="53">
        <f t="shared" ref="L2013:L2024" si="202">+L2012-K2013</f>
        <v>8000000</v>
      </c>
      <c r="M2013" s="94">
        <f t="shared" ref="M2013:M2024" si="203">+J2013+K2013</f>
        <v>1066250</v>
      </c>
      <c r="N2013" s="25"/>
      <c r="O2013" s="197">
        <f>+M2161</f>
        <v>-10000000</v>
      </c>
      <c r="P2013" s="197">
        <f>-M2161</f>
        <v>10000000</v>
      </c>
      <c r="Q2013" s="197"/>
    </row>
    <row r="2014" spans="1:17" ht="15.95" customHeight="1" x14ac:dyDescent="0.25">
      <c r="A2014" s="121"/>
      <c r="B2014" s="23"/>
      <c r="C2014" s="60"/>
      <c r="D2014" s="77"/>
      <c r="E2014" s="78"/>
      <c r="F2014" s="483"/>
      <c r="G2014" s="484"/>
      <c r="H2014" s="51">
        <f>IF(DAY(H2013)=DAY($H$2012),IF(WEEKDAY(EDATE(H2013,$D$2024),3)&lt;5,EDATE(H2013,$D$2024),WORKDAY(EDATE(H2013,$D$2024),1)),IF(WEEKDAY(EDATE($H$2012,$D$2024*COUNT($H$2012:H2013)),3)&lt;5,EDATE($H$2012,$D$2024*COUNT($H$2012:H2013)),WORKDAY(EDATE($H$2012,$D$2024*COUNT($H$2012:H2013)),1)))</f>
        <v>43696</v>
      </c>
      <c r="I2014" s="71" t="s">
        <v>13</v>
      </c>
      <c r="J2014" s="52">
        <v>1218388.8888888888</v>
      </c>
      <c r="K2014" s="52">
        <f t="shared" si="201"/>
        <v>720000</v>
      </c>
      <c r="L2014" s="53">
        <f t="shared" si="202"/>
        <v>7280000</v>
      </c>
      <c r="M2014" s="94">
        <f t="shared" si="203"/>
        <v>1938388.8888888888</v>
      </c>
      <c r="N2014" s="25"/>
      <c r="O2014" s="197">
        <f>+M2162+O2013</f>
        <v>-5003541.666666667</v>
      </c>
      <c r="P2014" s="197">
        <f>+(M2162/(1+$J$2169)^((H2162-$H$2161)/365))/$P$2013</f>
        <v>0.49964583333333329</v>
      </c>
      <c r="Q2014" s="197">
        <f>+P2014*((H2162-$H$2161)/365)</f>
        <v>0.25187625570776256</v>
      </c>
    </row>
    <row r="2015" spans="1:17" ht="15.95" customHeight="1" x14ac:dyDescent="0.25">
      <c r="A2015" s="121"/>
      <c r="B2015" s="23"/>
      <c r="C2015" s="60"/>
      <c r="D2015" s="55" t="str">
        <f>+B2003</f>
        <v>Segufer II</v>
      </c>
      <c r="E2015" s="64"/>
      <c r="F2015" s="483"/>
      <c r="G2015" s="484">
        <f>+J2005</f>
        <v>0</v>
      </c>
      <c r="H2015" s="51">
        <f>IF(DAY(H2014)=DAY($H$2012),IF(WEEKDAY(EDATE(H2014,$D$2024),3)&lt;5,EDATE(H2014,$D$2024),WORKDAY(EDATE(H2014,$D$2024),1)),IF(WEEKDAY(EDATE($H$2012,$D$2024*COUNT($H$2012:H2014)),3)&lt;5,EDATE($H$2012,$D$2024*COUNT($H$2012:H2014)),WORKDAY(EDATE($H$2012,$D$2024*COUNT($H$2012:H2014)),1)))</f>
        <v>43788</v>
      </c>
      <c r="I2015" s="71" t="s">
        <v>13</v>
      </c>
      <c r="J2015" s="52">
        <v>1074406.6666666667</v>
      </c>
      <c r="K2015" s="52">
        <f t="shared" si="201"/>
        <v>720000</v>
      </c>
      <c r="L2015" s="53">
        <f t="shared" si="202"/>
        <v>6560000</v>
      </c>
      <c r="M2015" s="94">
        <f t="shared" si="203"/>
        <v>1794406.6666666667</v>
      </c>
      <c r="N2015" s="25"/>
      <c r="O2015" s="197">
        <f>+M2163+O2014</f>
        <v>-394231.77083333395</v>
      </c>
      <c r="P2015" s="197">
        <f>+(M2163/(1+$J$2169)^((H2163-$H$2161)/365))/$P$2013</f>
        <v>0.46093098958333328</v>
      </c>
      <c r="Q2015" s="197">
        <f>+P2015*((H2163-$H$2161)/365)</f>
        <v>0.46093098958333328</v>
      </c>
    </row>
    <row r="2016" spans="1:17" ht="15.95" customHeight="1" x14ac:dyDescent="0.25">
      <c r="A2016" s="121"/>
      <c r="B2016" s="32"/>
      <c r="D2016" s="644"/>
      <c r="E2016" s="660"/>
      <c r="F2016" s="483"/>
      <c r="G2016" s="484"/>
      <c r="H2016" s="51">
        <f>IF(DAY(H2015)=DAY($H$2012),IF(WEEKDAY(EDATE(H2015,$D$2024),3)&lt;5,EDATE(H2015,$D$2024),WORKDAY(EDATE(H2015,$D$2024),1)),IF(WEEKDAY(EDATE($H$2012,$D$2024*COUNT($H$2012:H2015)),3)&lt;5,EDATE($H$2012,$D$2024*COUNT($H$2012:H2015)),WORKDAY(EDATE($H$2012,$D$2024*COUNT($H$2012:H2015)),1)))</f>
        <v>43880</v>
      </c>
      <c r="I2016" s="71" t="s">
        <v>13</v>
      </c>
      <c r="J2016" s="52">
        <v>821457.77777777787</v>
      </c>
      <c r="K2016" s="52">
        <f t="shared" si="201"/>
        <v>720000</v>
      </c>
      <c r="L2016" s="53">
        <f t="shared" si="202"/>
        <v>5840000</v>
      </c>
      <c r="M2016" s="94">
        <f t="shared" si="203"/>
        <v>1541457.777777778</v>
      </c>
      <c r="N2016" s="25"/>
      <c r="O2016" s="197">
        <f>+M2164+O2015</f>
        <v>3407504.3402777771</v>
      </c>
      <c r="P2016" s="197">
        <f>+(M2164/(1+$J$2169)^((H2164-$H$2161)/365))/$P$2013</f>
        <v>0.38017361111111109</v>
      </c>
      <c r="Q2016" s="197">
        <f>+P2016*((H2164-$H$2161)/365)</f>
        <v>0.57182277397260273</v>
      </c>
    </row>
    <row r="2017" spans="1:17" ht="15.95" customHeight="1" x14ac:dyDescent="0.25">
      <c r="A2017" s="121"/>
      <c r="B2017" s="23"/>
      <c r="C2017" s="638" t="s">
        <v>36</v>
      </c>
      <c r="D2017" s="640"/>
      <c r="E2017" s="36"/>
      <c r="F2017" s="483"/>
      <c r="G2017" s="484"/>
      <c r="H2017" s="51">
        <f>IF(DAY(H2016)=DAY($H$2012),IF(WEEKDAY(EDATE(H2016,$D$2024),3)&lt;5,EDATE(H2016,$D$2024),WORKDAY(EDATE(H2016,$D$2024),1)),IF(WEEKDAY(EDATE($H$2012,$D$2024*COUNT($H$2012:H2016)),3)&lt;5,EDATE($H$2012,$D$2024*COUNT($H$2012:H2016)),WORKDAY(EDATE($H$2012,$D$2024*COUNT($H$2012:H2016)),1)))</f>
        <v>43970</v>
      </c>
      <c r="I2017" s="71" t="s">
        <v>13</v>
      </c>
      <c r="J2017" s="52">
        <v>559362.5</v>
      </c>
      <c r="K2017" s="52">
        <f t="shared" si="201"/>
        <v>720000</v>
      </c>
      <c r="L2017" s="53">
        <f t="shared" si="202"/>
        <v>5120000</v>
      </c>
      <c r="M2017" s="94">
        <f t="shared" si="203"/>
        <v>1279362.5</v>
      </c>
      <c r="N2017" s="25"/>
      <c r="O2017" s="197">
        <f>+M2165+O2016</f>
        <v>6404370.659722222</v>
      </c>
      <c r="P2017" s="197">
        <f>+(M2165/(1+$J$2169)^((H2165-$H$2161)/365))/$P$2013</f>
        <v>0.29968663194444445</v>
      </c>
      <c r="Q2017" s="197">
        <f>+P2017*((H2165-$H$2161)/365)</f>
        <v>0.60019432315449017</v>
      </c>
    </row>
    <row r="2018" spans="1:17" ht="15.95" customHeight="1" x14ac:dyDescent="0.25">
      <c r="A2018" s="121"/>
      <c r="B2018" s="23"/>
      <c r="C2018" s="59"/>
      <c r="D2018" s="62"/>
      <c r="E2018" s="36"/>
      <c r="F2018" s="483"/>
      <c r="G2018" s="484"/>
      <c r="H2018" s="51">
        <f>IF(DAY(H2017)=DAY($H$2012),IF(WEEKDAY(EDATE(H2017,$D$2024),3)&lt;5,EDATE(H2017,$D$2024),WORKDAY(EDATE(H2017,$D$2024),1)),IF(WEEKDAY(EDATE($H$2012,$D$2024*COUNT($H$2012:H2017)),3)&lt;5,EDATE($H$2012,$D$2024*COUNT($H$2012:H2017)),WORKDAY(EDATE($H$2012,$D$2024*COUNT($H$2012:H2017)),1)))</f>
        <v>44062</v>
      </c>
      <c r="I2018" s="71" t="s">
        <v>13</v>
      </c>
      <c r="J2018" s="52">
        <v>446506.66666666669</v>
      </c>
      <c r="K2018" s="52">
        <f t="shared" si="201"/>
        <v>720000</v>
      </c>
      <c r="L2018" s="53">
        <f t="shared" si="202"/>
        <v>4400000</v>
      </c>
      <c r="M2018" s="94">
        <f t="shared" si="203"/>
        <v>1166506.6666666667</v>
      </c>
      <c r="N2018" s="25"/>
      <c r="O2018" s="197"/>
      <c r="P2018" s="197"/>
      <c r="Q2018" s="197"/>
    </row>
    <row r="2019" spans="1:17" ht="15.95" customHeight="1" x14ac:dyDescent="0.25">
      <c r="A2019" s="121"/>
      <c r="B2019" s="23"/>
      <c r="C2019" s="59" t="s">
        <v>9</v>
      </c>
      <c r="D2019" s="98" t="s">
        <v>18</v>
      </c>
      <c r="E2019" s="36"/>
      <c r="F2019" s="483"/>
      <c r="G2019" s="484"/>
      <c r="H2019" s="51">
        <f>IF(DAY(H2018)=DAY($H$2012),IF(WEEKDAY(EDATE(H2018,$D$2024),3)&lt;5,EDATE(H2018,$D$2024),WORKDAY(EDATE(H2018,$D$2024),1)),IF(WEEKDAY(EDATE($H$2012,$D$2024*COUNT($H$2012:H2018)),3)&lt;5,EDATE($H$2012,$D$2024*COUNT($H$2012:H2018)),WORKDAY(EDATE($H$2012,$D$2024*COUNT($H$2012:H2018)),1)))</f>
        <v>44154</v>
      </c>
      <c r="I2019" s="71" t="s">
        <v>13</v>
      </c>
      <c r="J2019" s="52">
        <v>383716.66666666669</v>
      </c>
      <c r="K2019" s="52">
        <f t="shared" si="201"/>
        <v>720000</v>
      </c>
      <c r="L2019" s="53">
        <f t="shared" si="202"/>
        <v>3680000</v>
      </c>
      <c r="M2019" s="94">
        <f t="shared" si="203"/>
        <v>1103716.6666666667</v>
      </c>
      <c r="N2019" s="25"/>
      <c r="O2019" s="197"/>
      <c r="P2019" s="197"/>
      <c r="Q2019" s="197"/>
    </row>
    <row r="2020" spans="1:17" ht="15.95" customHeight="1" x14ac:dyDescent="0.25">
      <c r="A2020" s="121"/>
      <c r="B2020" s="23"/>
      <c r="C2020" s="59" t="s">
        <v>10</v>
      </c>
      <c r="D2020" s="65">
        <v>43510</v>
      </c>
      <c r="E2020" s="36"/>
      <c r="F2020" s="483"/>
      <c r="G2020" s="484"/>
      <c r="H2020" s="51">
        <f>IF(DAY(H2019)=DAY($H$2012),IF(WEEKDAY(EDATE(H2019,$D$2024),3)&lt;5,EDATE(H2019,$D$2024),WORKDAY(EDATE(H2019,$D$2024),1)),IF(WEEKDAY(EDATE($H$2012,$D$2024*COUNT($H$2012:H2019)),3)&lt;5,EDATE($H$2012,$D$2024*COUNT($H$2012:H2019)),WORKDAY(EDATE($H$2012,$D$2024*COUNT($H$2012:H2019)),1)))</f>
        <v>44246</v>
      </c>
      <c r="I2020" s="71" t="s">
        <v>13</v>
      </c>
      <c r="J2020" s="52">
        <v>320926.66666666669</v>
      </c>
      <c r="K2020" s="52">
        <f t="shared" si="201"/>
        <v>720000</v>
      </c>
      <c r="L2020" s="53">
        <f t="shared" si="202"/>
        <v>2960000</v>
      </c>
      <c r="M2020" s="94">
        <f t="shared" si="203"/>
        <v>1040926.6666666667</v>
      </c>
      <c r="N2020" s="25"/>
      <c r="O2020" s="197"/>
      <c r="P2020" s="29"/>
    </row>
    <row r="2021" spans="1:17" ht="15.95" customHeight="1" x14ac:dyDescent="0.25">
      <c r="A2021" s="121"/>
      <c r="B2021" s="23"/>
      <c r="C2021" s="59" t="s">
        <v>11</v>
      </c>
      <c r="D2021" s="65">
        <v>43515</v>
      </c>
      <c r="E2021" s="36"/>
      <c r="F2021" s="483"/>
      <c r="G2021" s="484"/>
      <c r="H2021" s="51">
        <f>IF(DAY(H2020)=DAY($H$2012),IF(WEEKDAY(EDATE(H2020,$D$2024),3)&lt;5,EDATE(H2020,$D$2024),WORKDAY(EDATE(H2020,$D$2024),1)),IF(WEEKDAY(EDATE($H$2012,$D$2024*COUNT($H$2012:H2020)),3)&lt;5,EDATE($H$2012,$D$2024*COUNT($H$2012:H2020)),WORKDAY(EDATE($H$2012,$D$2024*COUNT($H$2012:H2020)),1)))</f>
        <v>44335</v>
      </c>
      <c r="I2021" s="71" t="s">
        <v>13</v>
      </c>
      <c r="J2021" s="52">
        <v>249719.16666666669</v>
      </c>
      <c r="K2021" s="52">
        <f t="shared" si="201"/>
        <v>720000</v>
      </c>
      <c r="L2021" s="53">
        <f t="shared" si="202"/>
        <v>2240000</v>
      </c>
      <c r="M2021" s="94">
        <f t="shared" si="203"/>
        <v>969719.16666666674</v>
      </c>
      <c r="N2021" s="25"/>
      <c r="O2021" s="197"/>
      <c r="P2021" s="29"/>
    </row>
    <row r="2022" spans="1:17" ht="15.95" customHeight="1" x14ac:dyDescent="0.25">
      <c r="A2022" s="121"/>
      <c r="B2022" s="23"/>
      <c r="C2022" s="59" t="s">
        <v>12</v>
      </c>
      <c r="D2022" s="65">
        <v>44611</v>
      </c>
      <c r="E2022" s="36"/>
      <c r="F2022" s="483"/>
      <c r="G2022" s="484"/>
      <c r="H2022" s="51">
        <f>IF(DAY(H2021)=DAY($H$2012),IF(WEEKDAY(EDATE(H2021,$D$2024),3)&lt;5,EDATE(H2021,$D$2024),WORKDAY(EDATE(H2021,$D$2024),1)),IF(WEEKDAY(EDATE($H$2012,$D$2024*COUNT($H$2012:H2021)),3)&lt;5,EDATE($H$2012,$D$2024*COUNT($H$2012:H2021)),WORKDAY(EDATE($H$2012,$D$2024*COUNT($H$2012:H2021)),1)))</f>
        <v>44427</v>
      </c>
      <c r="I2022" s="71" t="s">
        <v>13</v>
      </c>
      <c r="J2022" s="52">
        <v>195346.66666666666</v>
      </c>
      <c r="K2022" s="52">
        <f t="shared" si="201"/>
        <v>720000</v>
      </c>
      <c r="L2022" s="53">
        <f t="shared" si="202"/>
        <v>1520000</v>
      </c>
      <c r="M2022" s="94">
        <f t="shared" si="203"/>
        <v>915346.66666666663</v>
      </c>
      <c r="N2022" s="25"/>
      <c r="O2022" s="197"/>
      <c r="P2022" s="29"/>
    </row>
    <row r="2023" spans="1:17" ht="15.95" customHeight="1" x14ac:dyDescent="0.25">
      <c r="A2023" s="121"/>
      <c r="B2023" s="23"/>
      <c r="C2023" s="59" t="s">
        <v>27</v>
      </c>
      <c r="D2023" s="66">
        <v>8000000</v>
      </c>
      <c r="E2023" s="41"/>
      <c r="F2023" s="480"/>
      <c r="G2023" s="484"/>
      <c r="H2023" s="51">
        <f>IF(DAY(H2022)=DAY($H$2012),IF(WEEKDAY(EDATE(H2022,$D$2024),3)&lt;5,EDATE(H2022,$D$2024),WORKDAY(EDATE(H2022,$D$2024),1)),IF(WEEKDAY(EDATE($H$2012,$D$2024*COUNT($H$2012:H2022)),3)&lt;5,EDATE($H$2012,$D$2024*COUNT($H$2012:H2022)),WORKDAY(EDATE($H$2012,$D$2024*COUNT($H$2012:H2022)),1)))</f>
        <v>44519</v>
      </c>
      <c r="I2023" s="71" t="s">
        <v>13</v>
      </c>
      <c r="J2023" s="52">
        <v>132556.66666666666</v>
      </c>
      <c r="K2023" s="52">
        <f t="shared" si="201"/>
        <v>720000</v>
      </c>
      <c r="L2023" s="53">
        <f t="shared" si="202"/>
        <v>800000</v>
      </c>
      <c r="M2023" s="94">
        <f t="shared" si="203"/>
        <v>852556.66666666663</v>
      </c>
      <c r="N2023" s="25"/>
      <c r="O2023" s="197"/>
    </row>
    <row r="2024" spans="1:17" ht="15.95" customHeight="1" x14ac:dyDescent="0.25">
      <c r="A2024" s="121"/>
      <c r="B2024" s="23"/>
      <c r="C2024" s="59" t="s">
        <v>26</v>
      </c>
      <c r="D2024" s="66">
        <v>3</v>
      </c>
      <c r="E2024" s="36"/>
      <c r="F2024" s="480"/>
      <c r="G2024" s="484"/>
      <c r="H2024" s="51">
        <f>IF(DAY(H2023)=DAY($H$2012),IF(WEEKDAY(EDATE(H2023,$D$2024),3)&lt;5,EDATE(H2023,$D$2024),WORKDAY(EDATE(H2023,$D$2024),1)),IF(WEEKDAY(EDATE($H$2012,$D$2024*COUNT($H$2012:H2023)),3)&lt;5,EDATE($H$2012,$D$2024*COUNT($H$2012:H2023)),WORKDAY(EDATE($H$2012,$D$2024*COUNT($H$2012:H2023)),1)))</f>
        <v>44613</v>
      </c>
      <c r="I2024" s="71" t="s">
        <v>13</v>
      </c>
      <c r="J2024" s="52">
        <v>71283.333333333328</v>
      </c>
      <c r="K2024" s="52">
        <f>+IF(OR(I2024="A + C",I2024="A"),$D$2023*$D$2030,0)</f>
        <v>800000</v>
      </c>
      <c r="L2024" s="53">
        <f t="shared" si="202"/>
        <v>0</v>
      </c>
      <c r="M2024" s="94">
        <f t="shared" si="203"/>
        <v>871283.33333333337</v>
      </c>
      <c r="N2024" s="25"/>
      <c r="O2024" s="197"/>
      <c r="P2024" s="37"/>
    </row>
    <row r="2025" spans="1:17" ht="15.95" customHeight="1" x14ac:dyDescent="0.25">
      <c r="A2025" s="121"/>
      <c r="B2025" s="23"/>
      <c r="C2025" s="59" t="s">
        <v>19</v>
      </c>
      <c r="D2025" s="67" t="s">
        <v>20</v>
      </c>
      <c r="E2025" s="43"/>
      <c r="F2025" s="480"/>
      <c r="G2025" s="484"/>
      <c r="H2025" s="54"/>
      <c r="I2025" s="104"/>
      <c r="J2025" s="105"/>
      <c r="K2025" s="105"/>
      <c r="L2025" s="106"/>
      <c r="M2025" s="94"/>
      <c r="N2025" s="25"/>
      <c r="O2025" s="197"/>
    </row>
    <row r="2026" spans="1:17" ht="15.95" customHeight="1" x14ac:dyDescent="0.25">
      <c r="A2026" s="121"/>
      <c r="B2026" s="23"/>
      <c r="C2026" s="59" t="s">
        <v>14</v>
      </c>
      <c r="D2026" s="68">
        <v>0.08</v>
      </c>
      <c r="E2026" s="43"/>
      <c r="F2026" s="480"/>
      <c r="G2026" s="484"/>
      <c r="H2026" s="109"/>
      <c r="I2026" s="109"/>
      <c r="J2026" s="109"/>
      <c r="K2026" s="109"/>
      <c r="L2026" s="109"/>
      <c r="M2026" s="109"/>
      <c r="N2026" s="25"/>
      <c r="O2026" s="195"/>
    </row>
    <row r="2027" spans="1:17" ht="15.95" customHeight="1" x14ac:dyDescent="0.25">
      <c r="A2027" s="121"/>
      <c r="B2027" s="23"/>
      <c r="C2027" s="59" t="s">
        <v>31</v>
      </c>
      <c r="D2027" s="68"/>
      <c r="E2027" s="43"/>
      <c r="F2027" s="480"/>
      <c r="G2027" s="484"/>
      <c r="H2027" s="656" t="s">
        <v>43</v>
      </c>
      <c r="I2027" s="656"/>
      <c r="J2027" s="92">
        <v>0</v>
      </c>
      <c r="K2027" s="92"/>
      <c r="L2027" s="24"/>
      <c r="M2027" s="24"/>
      <c r="N2027" s="25"/>
      <c r="O2027" s="195"/>
    </row>
    <row r="2028" spans="1:17" ht="15.95" customHeight="1" x14ac:dyDescent="0.25">
      <c r="A2028" s="121"/>
      <c r="B2028" s="23"/>
      <c r="C2028" s="59" t="s">
        <v>32</v>
      </c>
      <c r="D2028" s="68"/>
      <c r="E2028" s="44"/>
      <c r="F2028" s="480"/>
      <c r="G2028" s="484"/>
      <c r="H2028" s="657"/>
      <c r="I2028" s="657"/>
      <c r="J2028" s="392"/>
      <c r="K2028" s="24"/>
      <c r="L2028" s="33"/>
      <c r="M2028" s="33"/>
      <c r="N2028" s="25"/>
      <c r="O2028" s="195"/>
    </row>
    <row r="2029" spans="1:17" ht="15.95" customHeight="1" x14ac:dyDescent="0.25">
      <c r="A2029" s="121"/>
      <c r="B2029" s="23"/>
      <c r="C2029" s="59" t="s">
        <v>80</v>
      </c>
      <c r="D2029" s="68">
        <v>0.09</v>
      </c>
      <c r="E2029" s="24"/>
      <c r="F2029" s="480"/>
      <c r="G2029" s="484"/>
      <c r="H2029" s="24"/>
      <c r="I2029" s="24"/>
      <c r="J2029" s="24"/>
      <c r="K2029" s="24"/>
      <c r="L2029" s="24"/>
      <c r="M2029" s="24"/>
      <c r="N2029" s="25"/>
      <c r="O2029" s="195"/>
    </row>
    <row r="2030" spans="1:17" ht="15.95" customHeight="1" x14ac:dyDescent="0.25">
      <c r="A2030" s="121"/>
      <c r="B2030" s="23"/>
      <c r="C2030" s="59" t="s">
        <v>55</v>
      </c>
      <c r="D2030" s="68">
        <v>0.1</v>
      </c>
      <c r="E2030" s="24"/>
      <c r="F2030" s="480"/>
      <c r="G2030" s="484"/>
      <c r="H2030" s="638" t="s">
        <v>44</v>
      </c>
      <c r="I2030" s="639"/>
      <c r="J2030" s="639"/>
      <c r="K2030" s="639"/>
      <c r="L2030" s="639"/>
      <c r="M2030" s="640"/>
      <c r="N2030" s="25"/>
      <c r="O2030" s="195"/>
    </row>
    <row r="2031" spans="1:17" ht="15.95" customHeight="1" x14ac:dyDescent="0.25">
      <c r="A2031" s="121"/>
      <c r="B2031" s="23"/>
      <c r="C2031" s="60"/>
      <c r="D2031" s="110"/>
      <c r="E2031" s="24"/>
      <c r="F2031" s="480"/>
      <c r="G2031" s="484"/>
      <c r="H2031" s="23"/>
      <c r="I2031" s="24"/>
      <c r="J2031" s="24"/>
      <c r="K2031" s="24"/>
      <c r="L2031" s="24"/>
      <c r="M2031" s="25"/>
      <c r="N2031" s="25"/>
      <c r="O2031" s="195"/>
    </row>
    <row r="2032" spans="1:17" ht="15.95" customHeight="1" x14ac:dyDescent="0.25">
      <c r="A2032" s="121"/>
      <c r="B2032" s="23"/>
      <c r="C2032" s="24"/>
      <c r="D2032" s="24"/>
      <c r="E2032" s="24"/>
      <c r="F2032" s="480"/>
      <c r="G2032" s="485"/>
      <c r="H2032" s="23"/>
      <c r="I2032" s="24"/>
      <c r="J2032" s="24"/>
      <c r="K2032" s="24"/>
      <c r="L2032" s="24"/>
      <c r="M2032" s="25"/>
      <c r="N2032" s="25"/>
      <c r="O2032" s="195"/>
    </row>
    <row r="2033" spans="1:17" ht="15.95" customHeight="1" x14ac:dyDescent="0.25">
      <c r="A2033" s="121"/>
      <c r="B2033" s="23"/>
      <c r="C2033" s="24"/>
      <c r="D2033" s="24"/>
      <c r="E2033" s="24"/>
      <c r="F2033" s="480"/>
      <c r="G2033" s="485"/>
      <c r="H2033" s="96"/>
      <c r="I2033" s="35"/>
      <c r="J2033" s="24"/>
      <c r="K2033" s="24"/>
      <c r="L2033" s="24"/>
      <c r="M2033" s="25"/>
      <c r="N2033" s="25"/>
      <c r="O2033" s="195"/>
    </row>
    <row r="2034" spans="1:17" ht="15.95" customHeight="1" x14ac:dyDescent="0.25">
      <c r="A2034" s="121"/>
      <c r="B2034" s="23"/>
      <c r="C2034" s="24"/>
      <c r="D2034" s="24"/>
      <c r="E2034" s="24"/>
      <c r="F2034" s="480"/>
      <c r="G2034" s="485"/>
      <c r="H2034" s="23"/>
      <c r="I2034" s="24"/>
      <c r="J2034" s="24"/>
      <c r="K2034" s="24"/>
      <c r="L2034" s="24"/>
      <c r="M2034" s="25"/>
      <c r="N2034" s="25"/>
      <c r="O2034" s="195"/>
    </row>
    <row r="2035" spans="1:17" ht="15.95" customHeight="1" x14ac:dyDescent="0.25">
      <c r="A2035" s="121"/>
      <c r="B2035" s="23"/>
      <c r="C2035" s="24"/>
      <c r="D2035" s="24"/>
      <c r="E2035" s="24"/>
      <c r="F2035" s="480"/>
      <c r="G2035" s="485"/>
      <c r="H2035" s="23"/>
      <c r="I2035" s="24"/>
      <c r="J2035" s="24"/>
      <c r="K2035" s="24"/>
      <c r="L2035" s="24"/>
      <c r="M2035" s="25"/>
      <c r="N2035" s="25"/>
      <c r="O2035" s="195"/>
    </row>
    <row r="2036" spans="1:17" ht="15.95" customHeight="1" x14ac:dyDescent="0.25">
      <c r="A2036" s="121"/>
      <c r="B2036" s="23"/>
      <c r="C2036" s="24"/>
      <c r="D2036" s="24"/>
      <c r="E2036" s="24"/>
      <c r="F2036" s="480"/>
      <c r="G2036" s="485"/>
      <c r="H2036" s="23"/>
      <c r="I2036" s="24"/>
      <c r="J2036" s="24"/>
      <c r="K2036" s="24"/>
      <c r="L2036" s="24"/>
      <c r="M2036" s="25"/>
      <c r="N2036" s="25"/>
      <c r="O2036" s="195"/>
    </row>
    <row r="2037" spans="1:17" ht="15.95" customHeight="1" x14ac:dyDescent="0.25">
      <c r="A2037" s="121"/>
      <c r="B2037" s="23"/>
      <c r="C2037" s="24"/>
      <c r="D2037" s="24"/>
      <c r="E2037" s="24"/>
      <c r="F2037" s="480"/>
      <c r="G2037" s="485"/>
      <c r="H2037" s="23"/>
      <c r="I2037" s="24"/>
      <c r="J2037" s="24"/>
      <c r="K2037" s="24"/>
      <c r="L2037" s="24"/>
      <c r="M2037" s="25"/>
      <c r="N2037" s="25"/>
      <c r="O2037" s="195"/>
    </row>
    <row r="2038" spans="1:17" ht="15.95" customHeight="1" x14ac:dyDescent="0.25">
      <c r="A2038" s="121"/>
      <c r="B2038" s="23"/>
      <c r="C2038" s="24"/>
      <c r="D2038" s="24"/>
      <c r="E2038" s="24"/>
      <c r="F2038" s="480"/>
      <c r="G2038" s="485"/>
      <c r="H2038" s="23"/>
      <c r="I2038" s="24"/>
      <c r="J2038" s="24"/>
      <c r="K2038" s="24"/>
      <c r="L2038" s="24"/>
      <c r="M2038" s="25"/>
      <c r="N2038" s="25"/>
      <c r="O2038" s="195"/>
    </row>
    <row r="2039" spans="1:17" ht="15.95" customHeight="1" x14ac:dyDescent="0.25">
      <c r="A2039" s="121"/>
      <c r="B2039" s="23"/>
      <c r="C2039" s="24"/>
      <c r="D2039" s="24"/>
      <c r="E2039" s="24"/>
      <c r="F2039" s="480"/>
      <c r="G2039" s="485"/>
      <c r="H2039" s="23"/>
      <c r="I2039" s="24"/>
      <c r="J2039" s="24"/>
      <c r="K2039" s="24"/>
      <c r="L2039" s="24"/>
      <c r="M2039" s="25"/>
      <c r="N2039" s="25"/>
      <c r="O2039" s="195"/>
    </row>
    <row r="2040" spans="1:17" ht="15.95" customHeight="1" x14ac:dyDescent="0.25">
      <c r="A2040" s="121"/>
      <c r="B2040" s="23"/>
      <c r="C2040" s="24"/>
      <c r="D2040" s="24"/>
      <c r="E2040" s="24"/>
      <c r="F2040" s="480"/>
      <c r="G2040" s="485"/>
      <c r="H2040" s="23"/>
      <c r="I2040" s="24"/>
      <c r="J2040" s="24"/>
      <c r="K2040" s="24"/>
      <c r="L2040" s="24"/>
      <c r="M2040" s="25"/>
      <c r="N2040" s="25"/>
      <c r="O2040" s="195"/>
    </row>
    <row r="2041" spans="1:17" ht="15.95" customHeight="1" x14ac:dyDescent="0.25">
      <c r="A2041" s="121"/>
      <c r="B2041" s="23"/>
      <c r="C2041" s="24"/>
      <c r="D2041" s="24"/>
      <c r="E2041" s="24"/>
      <c r="F2041" s="480"/>
      <c r="G2041" s="485"/>
      <c r="H2041" s="23"/>
      <c r="I2041" s="24"/>
      <c r="J2041" s="24"/>
      <c r="K2041" s="24"/>
      <c r="L2041" s="24"/>
      <c r="M2041" s="25"/>
      <c r="N2041" s="25"/>
      <c r="O2041" s="194" t="str">
        <f>+D2192</f>
        <v>ON Pyme CNV Garantizada</v>
      </c>
    </row>
    <row r="2042" spans="1:17" ht="15.95" customHeight="1" x14ac:dyDescent="0.25">
      <c r="A2042" s="121"/>
      <c r="B2042" s="23"/>
      <c r="C2042" s="24"/>
      <c r="D2042" s="24"/>
      <c r="E2042" s="24"/>
      <c r="F2042" s="480"/>
      <c r="G2042" s="485"/>
      <c r="H2042" s="23"/>
      <c r="I2042" s="24"/>
      <c r="J2042" s="24"/>
      <c r="K2042" s="24"/>
      <c r="L2042" s="24"/>
      <c r="M2042" s="25"/>
      <c r="N2042" s="25"/>
      <c r="O2042" s="194" t="str">
        <f>+IF(J2190="vencida",IF(D2192='Reporte - Oscuro'!$C$40,'Reporte - Oscuro'!$C$40&amp;" vencida",IF(D2192='Reporte - Oscuro'!$C$41,'Reporte - Oscuro'!$C$41&amp;" vencida",IF(D2192='Reporte - Oscuro'!$C$42,'Reporte - Oscuro'!$C$42&amp;" vencida",'Reporte - Oscuro'!$C$43&amp;" vencida"))),D2192&amp;" vigente")</f>
        <v>ON Pyme CNV Garantizada vencida</v>
      </c>
    </row>
    <row r="2043" spans="1:17" ht="15.95" customHeight="1" x14ac:dyDescent="0.25">
      <c r="A2043" s="121"/>
      <c r="B2043" s="23"/>
      <c r="C2043" s="24"/>
      <c r="D2043" s="24"/>
      <c r="E2043" s="24"/>
      <c r="F2043" s="480"/>
      <c r="G2043" s="485"/>
      <c r="H2043" s="26"/>
      <c r="I2043" s="27"/>
      <c r="J2043" s="27"/>
      <c r="K2043" s="27"/>
      <c r="L2043" s="27"/>
      <c r="M2043" s="28"/>
      <c r="N2043" s="25"/>
      <c r="O2043" s="195"/>
    </row>
    <row r="2044" spans="1:17" ht="15.95" customHeight="1" x14ac:dyDescent="0.25">
      <c r="A2044" s="121"/>
      <c r="B2044" s="26"/>
      <c r="C2044" s="27"/>
      <c r="D2044" s="27"/>
      <c r="E2044" s="27"/>
      <c r="F2044" s="481"/>
      <c r="G2044" s="486"/>
      <c r="H2044" s="27"/>
      <c r="I2044" s="27"/>
      <c r="J2044" s="27"/>
      <c r="K2044" s="27"/>
      <c r="L2044" s="27"/>
      <c r="M2044" s="27"/>
      <c r="N2044" s="28"/>
      <c r="O2044" s="197">
        <f>+M2195</f>
        <v>-10000000</v>
      </c>
      <c r="P2044" s="197">
        <f>-M2195</f>
        <v>10000000</v>
      </c>
      <c r="Q2044" s="197"/>
    </row>
    <row r="2045" spans="1:17" ht="15.95" customHeight="1" x14ac:dyDescent="0.25">
      <c r="A2045" s="121"/>
      <c r="B2045" s="635" t="s">
        <v>179</v>
      </c>
      <c r="C2045" s="636"/>
      <c r="D2045" s="636"/>
      <c r="E2045" s="636"/>
      <c r="F2045" s="636"/>
      <c r="G2045" s="636"/>
      <c r="H2045" s="636"/>
      <c r="I2045" s="636"/>
      <c r="J2045" s="636"/>
      <c r="K2045" s="636"/>
      <c r="L2045" s="636"/>
      <c r="M2045" s="636"/>
      <c r="N2045" s="637"/>
      <c r="O2045" s="197">
        <f>+M2196+O2044</f>
        <v>-4445559.722222222</v>
      </c>
      <c r="P2045" s="197">
        <f>+(M2196/(1+$J$2203)^((H2196-$H$2195)/365))/$P$2044</f>
        <v>0.55544402777777779</v>
      </c>
      <c r="Q2045" s="197">
        <f>+P2045*((H2196-$H$2195)/365)</f>
        <v>0.27696113165905634</v>
      </c>
    </row>
    <row r="2046" spans="1:17" ht="15.95" customHeight="1" x14ac:dyDescent="0.25">
      <c r="A2046" s="121"/>
      <c r="B2046" s="23"/>
      <c r="C2046" s="24"/>
      <c r="D2046" s="24"/>
      <c r="E2046" s="24"/>
      <c r="F2046" s="483"/>
      <c r="G2046" s="484"/>
      <c r="H2046" s="31"/>
      <c r="I2046" s="31"/>
      <c r="J2046" s="24"/>
      <c r="K2046" s="24"/>
      <c r="L2046" s="24"/>
      <c r="M2046" s="24"/>
      <c r="N2046" s="25"/>
      <c r="O2046" s="197">
        <f>+M2197+O2045</f>
        <v>255396.52777777798</v>
      </c>
      <c r="P2046" s="197">
        <f>+(M2197/(1+$J$2203)^((H2197-$H$2195)/365))/$P$2044</f>
        <v>0.47009562500000002</v>
      </c>
      <c r="Q2046" s="197">
        <f>+P2046*((H2197-$H$2195)/365)</f>
        <v>0.47009562500000002</v>
      </c>
    </row>
    <row r="2047" spans="1:17" ht="15.95" customHeight="1" x14ac:dyDescent="0.25">
      <c r="A2047" s="121"/>
      <c r="B2047" s="23"/>
      <c r="C2047" s="638" t="s">
        <v>37</v>
      </c>
      <c r="D2047" s="639"/>
      <c r="E2047" s="640"/>
      <c r="F2047" s="483"/>
      <c r="G2047" s="484"/>
      <c r="H2047" s="641" t="s">
        <v>28</v>
      </c>
      <c r="I2047" s="642"/>
      <c r="J2047" s="39">
        <f>+$D$2065-SUMIF($H$2053:$H$2063,"&lt;"&amp;$M$4,$K$2053:$K$2063)</f>
        <v>0</v>
      </c>
      <c r="K2047" s="24"/>
      <c r="L2047" s="24"/>
      <c r="M2047" s="24"/>
      <c r="N2047" s="25"/>
      <c r="O2047" s="197">
        <f>+M2198+O2046</f>
        <v>3875604.340277778</v>
      </c>
      <c r="P2047" s="197">
        <f>+(M2198/(1+$J$2203)^((H2198-$H$2195)/365))/$P$2044</f>
        <v>0.36202078124999998</v>
      </c>
      <c r="Q2047" s="197">
        <f>+P2047*((H2198-$H$2195)/365)</f>
        <v>0.54352709075342465</v>
      </c>
    </row>
    <row r="2048" spans="1:17" ht="15.95" customHeight="1" x14ac:dyDescent="0.25">
      <c r="A2048" s="121"/>
      <c r="B2048" s="23"/>
      <c r="C2048" s="58"/>
      <c r="D2048" s="664"/>
      <c r="E2048" s="665"/>
      <c r="F2048" s="483"/>
      <c r="G2048" s="484"/>
      <c r="H2048" s="645" t="s">
        <v>29</v>
      </c>
      <c r="I2048" s="646"/>
      <c r="J2048" s="40">
        <f>+$D$2064</f>
        <v>44137</v>
      </c>
      <c r="K2048" s="24"/>
      <c r="L2048" s="24"/>
      <c r="M2048" s="24"/>
      <c r="N2048" s="25"/>
      <c r="O2048" s="197">
        <f>+M2199+O2047</f>
        <v>6815376.215277778</v>
      </c>
      <c r="P2048" s="197">
        <f>+(M2199/(1+$J$2203)^((H2199-$H$2195)/365))/$P$2044</f>
        <v>0.29397718750000001</v>
      </c>
      <c r="Q2048" s="197">
        <f>+P2048*((H2199-$H$2195)/365)</f>
        <v>0.58875979195205486</v>
      </c>
    </row>
    <row r="2049" spans="1:17" ht="15.95" customHeight="1" x14ac:dyDescent="0.25">
      <c r="A2049" s="121"/>
      <c r="B2049" s="23"/>
      <c r="C2049" s="59" t="s">
        <v>25</v>
      </c>
      <c r="D2049" s="658"/>
      <c r="E2049" s="659"/>
      <c r="F2049" s="483"/>
      <c r="G2049" s="484"/>
      <c r="H2049" s="649" t="s">
        <v>30</v>
      </c>
      <c r="I2049" s="650"/>
      <c r="J2049" s="42" t="str">
        <f t="array" ref="J2049">+IF(H2062&gt;=M4,MIN(IF(H2053:H2063&gt;=$M$4,H2053:H2063,"")),"vencida")</f>
        <v>vencida</v>
      </c>
      <c r="K2049" s="24"/>
      <c r="L2049" s="24"/>
      <c r="M2049" s="24"/>
      <c r="N2049" s="25"/>
      <c r="O2049" s="197"/>
      <c r="P2049" s="197"/>
      <c r="Q2049" s="197"/>
    </row>
    <row r="2050" spans="1:17" ht="15.95" customHeight="1" x14ac:dyDescent="0.25">
      <c r="A2050" s="121"/>
      <c r="B2050" s="23"/>
      <c r="C2050" s="59" t="s">
        <v>6</v>
      </c>
      <c r="D2050" s="658" t="s">
        <v>180</v>
      </c>
      <c r="E2050" s="659"/>
      <c r="F2050" s="483"/>
      <c r="G2050" s="484"/>
      <c r="H2050" s="24"/>
      <c r="I2050" s="24"/>
      <c r="J2050" s="24"/>
      <c r="K2050" s="24"/>
      <c r="L2050" s="24"/>
      <c r="M2050" s="24"/>
      <c r="N2050" s="25"/>
      <c r="O2050" s="197"/>
      <c r="P2050" s="197"/>
      <c r="Q2050" s="197"/>
    </row>
    <row r="2051" spans="1:17" ht="15.95" customHeight="1" x14ac:dyDescent="0.25">
      <c r="A2051" s="121"/>
      <c r="B2051" s="23"/>
      <c r="C2051" s="59" t="s">
        <v>8</v>
      </c>
      <c r="D2051" s="658" t="s">
        <v>17</v>
      </c>
      <c r="E2051" s="659"/>
      <c r="F2051" s="483"/>
      <c r="G2051" s="484"/>
      <c r="H2051" s="651" t="s">
        <v>41</v>
      </c>
      <c r="I2051" s="652"/>
      <c r="J2051" s="652"/>
      <c r="K2051" s="652"/>
      <c r="L2051" s="653"/>
      <c r="M2051" s="24"/>
      <c r="N2051" s="25"/>
      <c r="O2051" s="197"/>
      <c r="P2051" s="197"/>
      <c r="Q2051" s="197"/>
    </row>
    <row r="2052" spans="1:17" ht="15.95" customHeight="1" x14ac:dyDescent="0.25">
      <c r="A2052" s="121"/>
      <c r="B2052" s="23"/>
      <c r="C2052" s="59" t="s">
        <v>33</v>
      </c>
      <c r="D2052" s="73" t="s">
        <v>309</v>
      </c>
      <c r="E2052" s="273">
        <v>1</v>
      </c>
      <c r="F2052" s="483">
        <f>+E2052*J2047</f>
        <v>0</v>
      </c>
      <c r="G2052" s="484"/>
      <c r="H2052" s="81" t="s">
        <v>0</v>
      </c>
      <c r="I2052" s="82" t="s">
        <v>2</v>
      </c>
      <c r="J2052" s="82" t="s">
        <v>3</v>
      </c>
      <c r="K2052" s="82" t="s">
        <v>4</v>
      </c>
      <c r="L2052" s="83" t="s">
        <v>5</v>
      </c>
      <c r="M2052" s="82" t="s">
        <v>44</v>
      </c>
      <c r="N2052" s="25"/>
      <c r="O2052" s="197"/>
      <c r="P2052" s="197"/>
      <c r="Q2052" s="197"/>
    </row>
    <row r="2053" spans="1:17" ht="15.95" customHeight="1" x14ac:dyDescent="0.25">
      <c r="A2053" s="121"/>
      <c r="B2053" s="23"/>
      <c r="C2053" s="59" t="s">
        <v>34</v>
      </c>
      <c r="D2053" s="658" t="s">
        <v>48</v>
      </c>
      <c r="E2053" s="659"/>
      <c r="F2053" s="483"/>
      <c r="G2053" s="484"/>
      <c r="H2053" s="45"/>
      <c r="I2053" s="46"/>
      <c r="J2053" s="46"/>
      <c r="K2053" s="46"/>
      <c r="L2053" s="47"/>
      <c r="M2053" s="23"/>
      <c r="N2053" s="25"/>
      <c r="O2053" s="197"/>
      <c r="P2053" s="197"/>
      <c r="Q2053" s="197"/>
    </row>
    <row r="2054" spans="1:17" ht="15.95" customHeight="1" x14ac:dyDescent="0.25">
      <c r="A2054" s="121"/>
      <c r="B2054" s="23"/>
      <c r="C2054" s="79" t="s">
        <v>38</v>
      </c>
      <c r="D2054" s="75"/>
      <c r="E2054" s="76"/>
      <c r="F2054" s="483"/>
      <c r="G2054" s="484"/>
      <c r="H2054" s="48">
        <f>+$D$2063</f>
        <v>43406</v>
      </c>
      <c r="I2054" s="70"/>
      <c r="J2054" s="49"/>
      <c r="K2054" s="49"/>
      <c r="L2054" s="50">
        <f>+D2065</f>
        <v>2000000</v>
      </c>
      <c r="M2054" s="93">
        <f>-L2054</f>
        <v>-2000000</v>
      </c>
      <c r="N2054" s="25"/>
      <c r="O2054" s="197"/>
      <c r="P2054" s="197"/>
      <c r="Q2054" s="197"/>
    </row>
    <row r="2055" spans="1:17" ht="15.95" customHeight="1" x14ac:dyDescent="0.25">
      <c r="A2055" s="121"/>
      <c r="B2055" s="23"/>
      <c r="C2055" s="59"/>
      <c r="D2055" s="73"/>
      <c r="E2055" s="74"/>
      <c r="F2055" s="483"/>
      <c r="G2055" s="484"/>
      <c r="H2055" s="51">
        <f>IF(DAY(H2054)=DAY($H$2054),IF(WEEKDAY(EDATE(H2054,$D$2066),3)&lt;5,EDATE(H2054,$D$2066),WORKDAY(EDATE(H2054,$D$2066),1)),IF(WEEKDAY(EDATE($H$2054,$D$2066*COUNT($H$2054:H2054)),3)&lt;5,EDATE($H$2054,$D$2066*COUNT($H$2054:H2054)),WORKDAY(EDATE($H$2054,$D$2066*COUNT($H$2054:H2054)),1)))</f>
        <v>43500</v>
      </c>
      <c r="I2055" s="71" t="s">
        <v>13</v>
      </c>
      <c r="J2055" s="52">
        <v>290812.50000000006</v>
      </c>
      <c r="K2055" s="52">
        <f t="shared" ref="K2055:K2062" si="204">+IF(OR(I2055="A + C",I2055="A"),$D$2065*$D$2071,0)</f>
        <v>250000</v>
      </c>
      <c r="L2055" s="53">
        <f t="shared" ref="L2055:L2062" si="205">+L2054-K2055</f>
        <v>1750000</v>
      </c>
      <c r="M2055" s="94">
        <f t="shared" ref="M2055:M2062" si="206">+J2055+K2055</f>
        <v>540812.5</v>
      </c>
      <c r="N2055" s="25"/>
      <c r="O2055" s="197"/>
      <c r="P2055" s="197"/>
      <c r="Q2055" s="197"/>
    </row>
    <row r="2056" spans="1:17" ht="15.95" customHeight="1" x14ac:dyDescent="0.25">
      <c r="A2056" s="121"/>
      <c r="B2056" s="23"/>
      <c r="C2056" s="60"/>
      <c r="D2056" s="77"/>
      <c r="E2056" s="78"/>
      <c r="F2056" s="483"/>
      <c r="G2056" s="484"/>
      <c r="H2056" s="51">
        <f>IF(DAY(H2055)=DAY($H$2054),IF(WEEKDAY(EDATE(H2055,$D$2066),3)&lt;5,EDATE(H2055,$D$2066),WORKDAY(EDATE(H2055,$D$2066),1)),IF(WEEKDAY(EDATE($H$2054,$D$2066*COUNT($H$2054:H2055)),3)&lt;5,EDATE($H$2054,$D$2066*COUNT($H$2054:H2055)),WORKDAY(EDATE($H$2054,$D$2066*COUNT($H$2054:H2055)),1)))</f>
        <v>43587</v>
      </c>
      <c r="I2056" s="71" t="s">
        <v>13</v>
      </c>
      <c r="J2056" s="52">
        <v>231414.71354166666</v>
      </c>
      <c r="K2056" s="52">
        <f t="shared" si="204"/>
        <v>250000</v>
      </c>
      <c r="L2056" s="53">
        <f t="shared" si="205"/>
        <v>1500000</v>
      </c>
      <c r="M2056" s="94">
        <f t="shared" si="206"/>
        <v>481414.71354166663</v>
      </c>
      <c r="N2056" s="25"/>
      <c r="O2056" s="197"/>
      <c r="P2056" s="197"/>
      <c r="Q2056" s="197"/>
    </row>
    <row r="2057" spans="1:17" ht="15.95" customHeight="1" x14ac:dyDescent="0.25">
      <c r="A2057" s="121"/>
      <c r="B2057" s="23"/>
      <c r="C2057" s="60"/>
      <c r="D2057" s="55" t="str">
        <f>+B2045</f>
        <v>Servipais I</v>
      </c>
      <c r="E2057" s="64"/>
      <c r="F2057" s="483"/>
      <c r="G2057" s="484">
        <f>+J2047</f>
        <v>0</v>
      </c>
      <c r="H2057" s="51">
        <f>IF(DAY(H2056)=DAY($H$2054),IF(WEEKDAY(EDATE(H2056,$D$2066),3)&lt;5,EDATE(H2056,$D$2066),WORKDAY(EDATE(H2056,$D$2066),1)),IF(WEEKDAY(EDATE($H$2054,$D$2066*COUNT($H$2054:H2056)),3)&lt;5,EDATE($H$2054,$D$2066*COUNT($H$2054:H2056)),WORKDAY(EDATE($H$2054,$D$2066*COUNT($H$2054:H2056)),1)))</f>
        <v>43679</v>
      </c>
      <c r="I2057" s="71" t="s">
        <v>13</v>
      </c>
      <c r="J2057" s="52">
        <v>216942.70833333334</v>
      </c>
      <c r="K2057" s="52">
        <f t="shared" si="204"/>
        <v>250000</v>
      </c>
      <c r="L2057" s="53">
        <f t="shared" si="205"/>
        <v>1250000</v>
      </c>
      <c r="M2057" s="94">
        <f t="shared" si="206"/>
        <v>466942.70833333337</v>
      </c>
      <c r="N2057" s="25"/>
      <c r="O2057" s="195"/>
      <c r="P2057" s="197"/>
      <c r="Q2057" s="197"/>
    </row>
    <row r="2058" spans="1:17" ht="15.95" customHeight="1" x14ac:dyDescent="0.25">
      <c r="A2058" s="121"/>
      <c r="B2058" s="32"/>
      <c r="D2058" s="644"/>
      <c r="E2058" s="660"/>
      <c r="F2058" s="483"/>
      <c r="G2058" s="484"/>
      <c r="H2058" s="51">
        <f>IF(DAY(H2057)=DAY($H$2054),IF(WEEKDAY(EDATE(H2057,$D$2066),3)&lt;5,EDATE(H2057,$D$2066),WORKDAY(EDATE(H2057,$D$2066),1)),IF(WEEKDAY(EDATE($H$2054,$D$2066*COUNT($H$2054:H2057)),3)&lt;5,EDATE($H$2054,$D$2066*COUNT($H$2054:H2057)),WORKDAY(EDATE($H$2054,$D$2066*COUNT($H$2054:H2057)),1)))</f>
        <v>43773</v>
      </c>
      <c r="I2058" s="71" t="s">
        <v>13</v>
      </c>
      <c r="J2058" s="52">
        <v>191039.49652777778</v>
      </c>
      <c r="K2058" s="52">
        <f t="shared" si="204"/>
        <v>250000</v>
      </c>
      <c r="L2058" s="53">
        <f t="shared" si="205"/>
        <v>1000000</v>
      </c>
      <c r="M2058" s="94">
        <f t="shared" si="206"/>
        <v>441039.49652777775</v>
      </c>
      <c r="N2058" s="25"/>
      <c r="O2058" s="195"/>
      <c r="P2058" s="197"/>
      <c r="Q2058" s="197"/>
    </row>
    <row r="2059" spans="1:17" ht="15.95" customHeight="1" x14ac:dyDescent="0.25">
      <c r="A2059" s="121"/>
      <c r="B2059" s="23"/>
      <c r="C2059" s="638" t="s">
        <v>36</v>
      </c>
      <c r="D2059" s="640"/>
      <c r="E2059" s="36"/>
      <c r="F2059" s="483"/>
      <c r="G2059" s="484"/>
      <c r="H2059" s="51">
        <f>IF(DAY(H2058)=DAY($H$2054),IF(WEEKDAY(EDATE(H2058,$D$2066),3)&lt;5,EDATE(H2058,$D$2066),WORKDAY(EDATE(H2058,$D$2066),1)),IF(WEEKDAY(EDATE($H$2054,$D$2066*COUNT($H$2054:H2058)),3)&lt;5,EDATE($H$2054,$D$2066*COUNT($H$2054:H2058)),WORKDAY(EDATE($H$2054,$D$2066*COUNT($H$2054:H2058)),1)))</f>
        <v>43864</v>
      </c>
      <c r="I2059" s="71" t="s">
        <v>13</v>
      </c>
      <c r="J2059" s="52">
        <v>129548.61111111112</v>
      </c>
      <c r="K2059" s="52">
        <f t="shared" si="204"/>
        <v>250000</v>
      </c>
      <c r="L2059" s="53">
        <f t="shared" si="205"/>
        <v>750000</v>
      </c>
      <c r="M2059" s="94">
        <f t="shared" si="206"/>
        <v>379548.61111111112</v>
      </c>
      <c r="N2059" s="25"/>
      <c r="O2059" s="195"/>
      <c r="P2059" s="197"/>
      <c r="Q2059" s="197"/>
    </row>
    <row r="2060" spans="1:17" ht="15.95" customHeight="1" x14ac:dyDescent="0.25">
      <c r="A2060" s="121"/>
      <c r="B2060" s="23"/>
      <c r="C2060" s="59"/>
      <c r="D2060" s="62"/>
      <c r="E2060" s="36"/>
      <c r="F2060" s="483"/>
      <c r="G2060" s="484"/>
      <c r="H2060" s="51">
        <f>IF(DAY(H2059)=DAY($H$2054),IF(WEEKDAY(EDATE(H2059,$D$2066),3)&lt;5,EDATE(H2059,$D$2066),WORKDAY(EDATE(H2059,$D$2066),1)),IF(WEEKDAY(EDATE($H$2054,$D$2066*COUNT($H$2054:H2059)),3)&lt;5,EDATE($H$2054,$D$2066*COUNT($H$2054:H2059)),WORKDAY(EDATE($H$2054,$D$2066*COUNT($H$2054:H2059)),1)))</f>
        <v>43955</v>
      </c>
      <c r="I2060" s="71" t="s">
        <v>13</v>
      </c>
      <c r="J2060" s="52">
        <v>71271.484375</v>
      </c>
      <c r="K2060" s="52">
        <f t="shared" si="204"/>
        <v>250000</v>
      </c>
      <c r="L2060" s="53">
        <f t="shared" si="205"/>
        <v>500000</v>
      </c>
      <c r="M2060" s="94">
        <f t="shared" si="206"/>
        <v>321271.484375</v>
      </c>
      <c r="N2060" s="25"/>
      <c r="O2060" s="195"/>
      <c r="P2060" s="197"/>
      <c r="Q2060" s="197"/>
    </row>
    <row r="2061" spans="1:17" ht="15.95" customHeight="1" x14ac:dyDescent="0.25">
      <c r="A2061" s="121"/>
      <c r="B2061" s="23"/>
      <c r="C2061" s="59" t="s">
        <v>9</v>
      </c>
      <c r="D2061" s="98" t="s">
        <v>18</v>
      </c>
      <c r="E2061" s="36"/>
      <c r="F2061" s="483"/>
      <c r="G2061" s="484"/>
      <c r="H2061" s="51">
        <f>IF(DAY(H2060)=DAY($H$2054),IF(WEEKDAY(EDATE(H2060,$D$2066),3)&lt;5,EDATE(H2060,$D$2066),WORKDAY(EDATE(H2060,$D$2066),1)),IF(WEEKDAY(EDATE($H$2054,$D$2066*COUNT($H$2054:H2060)),3)&lt;5,EDATE($H$2054,$D$2066*COUNT($H$2054:H2060)),WORKDAY(EDATE($H$2054,$D$2066*COUNT($H$2054:H2060)),1)))</f>
        <v>44046</v>
      </c>
      <c r="I2061" s="71" t="s">
        <v>13</v>
      </c>
      <c r="J2061" s="52">
        <v>42182.291666666672</v>
      </c>
      <c r="K2061" s="52">
        <f t="shared" si="204"/>
        <v>250000</v>
      </c>
      <c r="L2061" s="53">
        <f t="shared" si="205"/>
        <v>250000</v>
      </c>
      <c r="M2061" s="94">
        <f t="shared" si="206"/>
        <v>292182.29166666669</v>
      </c>
      <c r="N2061" s="25"/>
      <c r="O2061" s="195"/>
      <c r="P2061" s="197"/>
      <c r="Q2061" s="197"/>
    </row>
    <row r="2062" spans="1:17" ht="15.95" customHeight="1" x14ac:dyDescent="0.25">
      <c r="A2062" s="121"/>
      <c r="B2062" s="23"/>
      <c r="C2062" s="59" t="s">
        <v>10</v>
      </c>
      <c r="D2062" s="65">
        <v>43403</v>
      </c>
      <c r="E2062" s="36"/>
      <c r="F2062" s="483"/>
      <c r="G2062" s="484"/>
      <c r="H2062" s="51">
        <f>IF(DAY(H2061)=DAY($H$2054),IF(WEEKDAY(EDATE(H2061,$D$2066),3)&lt;5,EDATE(H2061,$D$2066),WORKDAY(EDATE(H2061,$D$2066),1)),IF(WEEKDAY(EDATE($H$2054,$D$2066*COUNT($H$2054:H2061)),3)&lt;5,EDATE($H$2054,$D$2066*COUNT($H$2054:H2061)),WORKDAY(EDATE($H$2054,$D$2066*COUNT($H$2054:H2061)),1)))</f>
        <v>44137</v>
      </c>
      <c r="I2062" s="71" t="s">
        <v>13</v>
      </c>
      <c r="J2062" s="52">
        <v>21091.145833333336</v>
      </c>
      <c r="K2062" s="52">
        <f t="shared" si="204"/>
        <v>250000</v>
      </c>
      <c r="L2062" s="53">
        <f t="shared" si="205"/>
        <v>0</v>
      </c>
      <c r="M2062" s="94">
        <f t="shared" si="206"/>
        <v>271091.14583333331</v>
      </c>
      <c r="N2062" s="25"/>
      <c r="O2062" s="195"/>
      <c r="P2062" s="197"/>
      <c r="Q2062" s="197"/>
    </row>
    <row r="2063" spans="1:17" ht="15.95" customHeight="1" x14ac:dyDescent="0.25">
      <c r="A2063" s="121"/>
      <c r="B2063" s="23"/>
      <c r="C2063" s="59" t="s">
        <v>11</v>
      </c>
      <c r="D2063" s="65">
        <v>43406</v>
      </c>
      <c r="E2063" s="36"/>
      <c r="F2063" s="483"/>
      <c r="G2063" s="484"/>
      <c r="H2063" s="54"/>
      <c r="I2063" s="104"/>
      <c r="J2063" s="105"/>
      <c r="K2063" s="105"/>
      <c r="L2063" s="106"/>
      <c r="M2063" s="94"/>
      <c r="N2063" s="25"/>
      <c r="O2063" s="195"/>
      <c r="P2063" s="29"/>
    </row>
    <row r="2064" spans="1:17" ht="15.95" customHeight="1" x14ac:dyDescent="0.25">
      <c r="A2064" s="121"/>
      <c r="B2064" s="23"/>
      <c r="C2064" s="59" t="s">
        <v>12</v>
      </c>
      <c r="D2064" s="65">
        <v>44137</v>
      </c>
      <c r="E2064" s="36"/>
      <c r="F2064" s="483"/>
      <c r="G2064" s="484"/>
      <c r="H2064" s="109"/>
      <c r="I2064" s="109"/>
      <c r="J2064" s="109"/>
      <c r="K2064" s="109"/>
      <c r="L2064" s="109"/>
      <c r="M2064" s="109"/>
      <c r="N2064" s="25"/>
      <c r="O2064" s="195"/>
      <c r="P2064" s="29"/>
    </row>
    <row r="2065" spans="1:17" ht="15.95" customHeight="1" x14ac:dyDescent="0.25">
      <c r="A2065" s="121"/>
      <c r="B2065" s="23"/>
      <c r="C2065" s="59" t="s">
        <v>27</v>
      </c>
      <c r="D2065" s="66">
        <v>2000000</v>
      </c>
      <c r="E2065" s="41"/>
      <c r="F2065" s="480"/>
      <c r="G2065" s="484"/>
      <c r="H2065" s="656" t="s">
        <v>43</v>
      </c>
      <c r="I2065" s="656"/>
      <c r="J2065" s="92">
        <v>0</v>
      </c>
      <c r="K2065" s="92"/>
      <c r="L2065" s="24"/>
      <c r="M2065" s="24"/>
      <c r="N2065" s="25"/>
      <c r="O2065" s="195"/>
      <c r="P2065" s="29"/>
    </row>
    <row r="2066" spans="1:17" ht="15.95" customHeight="1" x14ac:dyDescent="0.25">
      <c r="A2066" s="121"/>
      <c r="B2066" s="23"/>
      <c r="C2066" s="59" t="s">
        <v>26</v>
      </c>
      <c r="D2066" s="66">
        <v>3</v>
      </c>
      <c r="E2066" s="36"/>
      <c r="F2066" s="480"/>
      <c r="G2066" s="484"/>
      <c r="H2066" s="657"/>
      <c r="I2066" s="657"/>
      <c r="J2066" s="392"/>
      <c r="K2066" s="24"/>
      <c r="L2066" s="33"/>
      <c r="M2066" s="33"/>
      <c r="N2066" s="25"/>
      <c r="O2066" s="195"/>
    </row>
    <row r="2067" spans="1:17" ht="15.95" customHeight="1" x14ac:dyDescent="0.25">
      <c r="A2067" s="121"/>
      <c r="B2067" s="23"/>
      <c r="C2067" s="59" t="s">
        <v>19</v>
      </c>
      <c r="D2067" s="67" t="s">
        <v>20</v>
      </c>
      <c r="E2067" s="43"/>
      <c r="F2067" s="480"/>
      <c r="G2067" s="484"/>
      <c r="H2067" s="24"/>
      <c r="I2067" s="24"/>
      <c r="J2067" s="24"/>
      <c r="K2067" s="24"/>
      <c r="L2067" s="24"/>
      <c r="M2067" s="24"/>
      <c r="N2067" s="25"/>
      <c r="O2067" s="195"/>
      <c r="P2067" s="37"/>
    </row>
    <row r="2068" spans="1:17" ht="15.95" customHeight="1" x14ac:dyDescent="0.25">
      <c r="A2068" s="121"/>
      <c r="B2068" s="23"/>
      <c r="C2068" s="59" t="s">
        <v>14</v>
      </c>
      <c r="D2068" s="68">
        <v>7.2499999999999995E-2</v>
      </c>
      <c r="E2068" s="43"/>
      <c r="F2068" s="480"/>
      <c r="G2068" s="484"/>
      <c r="H2068" s="638" t="s">
        <v>44</v>
      </c>
      <c r="I2068" s="639"/>
      <c r="J2068" s="639"/>
      <c r="K2068" s="639"/>
      <c r="L2068" s="639"/>
      <c r="M2068" s="640"/>
      <c r="N2068" s="25"/>
      <c r="O2068" s="195"/>
    </row>
    <row r="2069" spans="1:17" ht="15.95" customHeight="1" x14ac:dyDescent="0.25">
      <c r="A2069" s="121"/>
      <c r="B2069" s="23"/>
      <c r="C2069" s="59" t="s">
        <v>31</v>
      </c>
      <c r="D2069" s="68"/>
      <c r="E2069" s="43"/>
      <c r="F2069" s="480"/>
      <c r="G2069" s="484"/>
      <c r="H2069" s="23"/>
      <c r="I2069" s="24"/>
      <c r="J2069" s="24"/>
      <c r="K2069" s="24"/>
      <c r="L2069" s="24"/>
      <c r="M2069" s="25"/>
      <c r="N2069" s="25"/>
      <c r="O2069" s="195"/>
    </row>
    <row r="2070" spans="1:17" ht="15.95" customHeight="1" x14ac:dyDescent="0.25">
      <c r="A2070" s="121"/>
      <c r="B2070" s="23"/>
      <c r="C2070" s="59" t="s">
        <v>32</v>
      </c>
      <c r="D2070" s="68"/>
      <c r="E2070" s="44"/>
      <c r="F2070" s="480"/>
      <c r="G2070" s="484"/>
      <c r="H2070" s="23"/>
      <c r="I2070" s="24"/>
      <c r="J2070" s="24"/>
      <c r="K2070" s="24"/>
      <c r="L2070" s="24"/>
      <c r="M2070" s="25"/>
      <c r="N2070" s="25"/>
      <c r="O2070" s="195"/>
    </row>
    <row r="2071" spans="1:17" ht="15.95" customHeight="1" x14ac:dyDescent="0.25">
      <c r="A2071" s="121"/>
      <c r="B2071" s="23"/>
      <c r="C2071" s="59" t="s">
        <v>78</v>
      </c>
      <c r="D2071" s="68">
        <v>0.125</v>
      </c>
      <c r="E2071" s="24"/>
      <c r="F2071" s="480"/>
      <c r="G2071" s="484"/>
      <c r="H2071" s="96"/>
      <c r="I2071" s="35"/>
      <c r="J2071" s="24"/>
      <c r="K2071" s="24"/>
      <c r="L2071" s="24"/>
      <c r="M2071" s="25"/>
      <c r="N2071" s="25"/>
      <c r="O2071" s="195"/>
    </row>
    <row r="2072" spans="1:17" ht="15.95" customHeight="1" x14ac:dyDescent="0.25">
      <c r="A2072" s="121"/>
      <c r="B2072" s="23"/>
      <c r="C2072" s="59" t="s">
        <v>55</v>
      </c>
      <c r="D2072" s="68"/>
      <c r="E2072" s="24"/>
      <c r="F2072" s="480"/>
      <c r="G2072" s="485"/>
      <c r="H2072" s="23"/>
      <c r="I2072" s="24"/>
      <c r="J2072" s="24"/>
      <c r="K2072" s="24"/>
      <c r="L2072" s="24"/>
      <c r="M2072" s="25"/>
      <c r="N2072" s="25"/>
      <c r="O2072" s="194" t="str">
        <f>+D2226</f>
        <v>ON Pyme CNV Garantizada</v>
      </c>
    </row>
    <row r="2073" spans="1:17" ht="15.95" customHeight="1" x14ac:dyDescent="0.25">
      <c r="A2073" s="121"/>
      <c r="B2073" s="23"/>
      <c r="C2073" s="60"/>
      <c r="D2073" s="110"/>
      <c r="E2073" s="24"/>
      <c r="F2073" s="480"/>
      <c r="G2073" s="485"/>
      <c r="H2073" s="23"/>
      <c r="I2073" s="24"/>
      <c r="J2073" s="24"/>
      <c r="K2073" s="24"/>
      <c r="L2073" s="24"/>
      <c r="M2073" s="25"/>
      <c r="N2073" s="25"/>
      <c r="O2073" s="195"/>
    </row>
    <row r="2074" spans="1:17" ht="15.95" customHeight="1" x14ac:dyDescent="0.25">
      <c r="A2074" s="121"/>
      <c r="B2074" s="23"/>
      <c r="C2074" s="24"/>
      <c r="D2074" s="24"/>
      <c r="E2074" s="24"/>
      <c r="F2074" s="480"/>
      <c r="G2074" s="485"/>
      <c r="H2074" s="23"/>
      <c r="I2074" s="24"/>
      <c r="J2074" s="24"/>
      <c r="K2074" s="24"/>
      <c r="L2074" s="24"/>
      <c r="M2074" s="25"/>
      <c r="N2074" s="25"/>
      <c r="O2074" s="194" t="str">
        <f>+IF(J2224="vencida",IF(D2226='Reporte - Oscuro'!$C$40,'Reporte - Oscuro'!$C$40&amp;" vencida",IF(D2226='Reporte - Oscuro'!$C$41,'Reporte - Oscuro'!$C$41&amp;" vencida",IF(D2226='Reporte - Oscuro'!$C$42,'Reporte - Oscuro'!$C$42&amp;" vencida",'Reporte - Oscuro'!$C$43&amp;" vencida"))),D2226&amp;" vigente")</f>
        <v>ON Pyme CNV Garantizada vencida</v>
      </c>
    </row>
    <row r="2075" spans="1:17" ht="15.95" customHeight="1" x14ac:dyDescent="0.25">
      <c r="A2075" s="121"/>
      <c r="B2075" s="23"/>
      <c r="C2075" s="24"/>
      <c r="D2075" s="24"/>
      <c r="E2075" s="24"/>
      <c r="F2075" s="480"/>
      <c r="G2075" s="485"/>
      <c r="H2075" s="23"/>
      <c r="I2075" s="24"/>
      <c r="J2075" s="24"/>
      <c r="K2075" s="24"/>
      <c r="L2075" s="24"/>
      <c r="M2075" s="25"/>
      <c r="N2075" s="25"/>
      <c r="O2075" s="195"/>
    </row>
    <row r="2076" spans="1:17" ht="15.95" customHeight="1" x14ac:dyDescent="0.25">
      <c r="A2076" s="121"/>
      <c r="B2076" s="23"/>
      <c r="C2076" s="24"/>
      <c r="D2076" s="24"/>
      <c r="E2076" s="24"/>
      <c r="F2076" s="480"/>
      <c r="G2076" s="485"/>
      <c r="H2076" s="23"/>
      <c r="I2076" s="24"/>
      <c r="J2076" s="24"/>
      <c r="K2076" s="24"/>
      <c r="L2076" s="24"/>
      <c r="M2076" s="25"/>
      <c r="N2076" s="25"/>
      <c r="O2076" s="195"/>
    </row>
    <row r="2077" spans="1:17" ht="15.95" customHeight="1" x14ac:dyDescent="0.25">
      <c r="A2077" s="121"/>
      <c r="B2077" s="23"/>
      <c r="C2077" s="24"/>
      <c r="D2077" s="24"/>
      <c r="E2077" s="24"/>
      <c r="F2077" s="480"/>
      <c r="G2077" s="485"/>
      <c r="H2077" s="23"/>
      <c r="I2077" s="24"/>
      <c r="J2077" s="24"/>
      <c r="K2077" s="24"/>
      <c r="L2077" s="24"/>
      <c r="M2077" s="25"/>
      <c r="N2077" s="25"/>
      <c r="O2077" s="195"/>
    </row>
    <row r="2078" spans="1:17" ht="15.95" customHeight="1" x14ac:dyDescent="0.25">
      <c r="A2078" s="121"/>
      <c r="B2078" s="23"/>
      <c r="C2078" s="24"/>
      <c r="D2078" s="24"/>
      <c r="E2078" s="24"/>
      <c r="F2078" s="480"/>
      <c r="G2078" s="485"/>
      <c r="H2078" s="23"/>
      <c r="I2078" s="24"/>
      <c r="J2078" s="24"/>
      <c r="K2078" s="24"/>
      <c r="L2078" s="24"/>
      <c r="M2078" s="25"/>
      <c r="N2078" s="25"/>
      <c r="O2078" s="197">
        <f>+M2229</f>
        <v>-10000000</v>
      </c>
      <c r="P2078" s="197">
        <f>-M2229</f>
        <v>10000000</v>
      </c>
      <c r="Q2078" s="197"/>
    </row>
    <row r="2079" spans="1:17" ht="15.95" customHeight="1" x14ac:dyDescent="0.25">
      <c r="A2079" s="121"/>
      <c r="B2079" s="23"/>
      <c r="C2079" s="24"/>
      <c r="D2079" s="24"/>
      <c r="E2079" s="24"/>
      <c r="F2079" s="480"/>
      <c r="G2079" s="485"/>
      <c r="H2079" s="23"/>
      <c r="I2079" s="24"/>
      <c r="J2079" s="24"/>
      <c r="K2079" s="24"/>
      <c r="L2079" s="24"/>
      <c r="M2079" s="25"/>
      <c r="N2079" s="25"/>
      <c r="O2079" s="197">
        <f>+M2230+O2078</f>
        <v>-4803854.166666667</v>
      </c>
      <c r="P2079" s="197">
        <f>+(M2230/(1+$J$2237)^((H2230-$H$2229)/365))/$P$2078</f>
        <v>0.51961458333333332</v>
      </c>
      <c r="Q2079" s="197">
        <f>+P2079*((H2230-$H$2229)/365)</f>
        <v>0.25767188926940637</v>
      </c>
    </row>
    <row r="2080" spans="1:17" ht="15.95" customHeight="1" x14ac:dyDescent="0.25">
      <c r="A2080" s="121"/>
      <c r="B2080" s="23"/>
      <c r="C2080" s="24"/>
      <c r="D2080" s="24"/>
      <c r="E2080" s="24"/>
      <c r="F2080" s="480"/>
      <c r="G2080" s="485"/>
      <c r="H2080" s="23"/>
      <c r="I2080" s="24"/>
      <c r="J2080" s="24"/>
      <c r="K2080" s="24"/>
      <c r="L2080" s="24"/>
      <c r="M2080" s="25"/>
      <c r="N2080" s="25"/>
      <c r="O2080" s="197">
        <f>+M2231+O2079</f>
        <v>-285364.58333333395</v>
      </c>
      <c r="P2080" s="197">
        <f>+(M2231/(1+$J$2237)^((H2231-$H$2229)/365))/$P$2078</f>
        <v>0.45184895833333333</v>
      </c>
      <c r="Q2080" s="197">
        <f>+P2080*((H2231-$H$2229)/365)</f>
        <v>0.45184895833333333</v>
      </c>
    </row>
    <row r="2081" spans="1:17" ht="15.95" customHeight="1" x14ac:dyDescent="0.25">
      <c r="A2081" s="121"/>
      <c r="B2081" s="23"/>
      <c r="C2081" s="24"/>
      <c r="D2081" s="24"/>
      <c r="E2081" s="24"/>
      <c r="F2081" s="480"/>
      <c r="G2081" s="485"/>
      <c r="H2081" s="26"/>
      <c r="I2081" s="27"/>
      <c r="J2081" s="27"/>
      <c r="K2081" s="27"/>
      <c r="L2081" s="27"/>
      <c r="M2081" s="28"/>
      <c r="N2081" s="25"/>
      <c r="O2081" s="197">
        <f>+M2232+O2080</f>
        <v>3144383.680555555</v>
      </c>
      <c r="P2081" s="197">
        <f>+(M2232/(1+$J$2237)^((H2232-$H$2229)/365))/$P$2078</f>
        <v>0.34297482638888888</v>
      </c>
      <c r="Q2081" s="197">
        <f>+P2081*((H2232-$H$2229)/365)</f>
        <v>0.51399241105403348</v>
      </c>
    </row>
    <row r="2082" spans="1:17" ht="15.95" customHeight="1" x14ac:dyDescent="0.25">
      <c r="A2082" s="121"/>
      <c r="B2082" s="26"/>
      <c r="C2082" s="27"/>
      <c r="D2082" s="27"/>
      <c r="E2082" s="27"/>
      <c r="F2082" s="481"/>
      <c r="G2082" s="486"/>
      <c r="H2082" s="27"/>
      <c r="I2082" s="27"/>
      <c r="J2082" s="27"/>
      <c r="K2082" s="27"/>
      <c r="L2082" s="27"/>
      <c r="M2082" s="27"/>
      <c r="N2082" s="28"/>
      <c r="O2082" s="197">
        <f>+M2233+O2081</f>
        <v>6069947.916666666</v>
      </c>
      <c r="P2082" s="197">
        <f>+(M2233/(1+$J$2237)^((H2233-$H$2229)/365))/$P$2078</f>
        <v>0.29255642361111112</v>
      </c>
      <c r="Q2082" s="197">
        <f>+P2082*((H2233-$H$2229)/365)</f>
        <v>0.58671589611872155</v>
      </c>
    </row>
    <row r="2083" spans="1:17" ht="15.95" customHeight="1" x14ac:dyDescent="0.25">
      <c r="A2083" s="121"/>
      <c r="B2083" s="635" t="s">
        <v>213</v>
      </c>
      <c r="C2083" s="636"/>
      <c r="D2083" s="636"/>
      <c r="E2083" s="636"/>
      <c r="F2083" s="636"/>
      <c r="G2083" s="636"/>
      <c r="H2083" s="636"/>
      <c r="I2083" s="636"/>
      <c r="J2083" s="636"/>
      <c r="K2083" s="636"/>
      <c r="L2083" s="636"/>
      <c r="M2083" s="636"/>
      <c r="N2083" s="637"/>
      <c r="O2083" s="197"/>
      <c r="P2083" s="197"/>
      <c r="Q2083" s="197"/>
    </row>
    <row r="2084" spans="1:17" ht="15.95" customHeight="1" x14ac:dyDescent="0.25">
      <c r="A2084" s="121"/>
      <c r="B2084" s="23"/>
      <c r="C2084" s="24"/>
      <c r="D2084" s="24"/>
      <c r="E2084" s="24"/>
      <c r="F2084" s="483"/>
      <c r="G2084" s="484"/>
      <c r="H2084" s="31"/>
      <c r="I2084" s="31"/>
      <c r="J2084" s="24"/>
      <c r="K2084" s="24"/>
      <c r="L2084" s="24"/>
      <c r="M2084" s="24"/>
      <c r="N2084" s="25"/>
      <c r="O2084" s="197"/>
      <c r="P2084" s="197"/>
      <c r="Q2084" s="197"/>
    </row>
    <row r="2085" spans="1:17" ht="15.95" customHeight="1" x14ac:dyDescent="0.25">
      <c r="A2085" s="121"/>
      <c r="B2085" s="23"/>
      <c r="C2085" s="638" t="s">
        <v>37</v>
      </c>
      <c r="D2085" s="639"/>
      <c r="E2085" s="640"/>
      <c r="F2085" s="483"/>
      <c r="G2085" s="484"/>
      <c r="H2085" s="641" t="s">
        <v>28</v>
      </c>
      <c r="I2085" s="642"/>
      <c r="J2085" s="39">
        <f t="array" ref="J2085">+$D$2103-SUMIF($H$2091:$H$2099,"&lt;"&amp;$M$4,$K$2091:$K$2099)</f>
        <v>0</v>
      </c>
      <c r="K2085" s="24"/>
      <c r="L2085" s="24"/>
      <c r="M2085" s="24"/>
      <c r="N2085" s="25"/>
      <c r="O2085" s="197"/>
      <c r="P2085" s="29"/>
    </row>
    <row r="2086" spans="1:17" ht="15.95" customHeight="1" x14ac:dyDescent="0.25">
      <c r="A2086" s="121"/>
      <c r="B2086" s="23"/>
      <c r="C2086" s="58"/>
      <c r="D2086" s="664"/>
      <c r="E2086" s="665"/>
      <c r="F2086" s="483"/>
      <c r="G2086" s="484"/>
      <c r="H2086" s="645" t="s">
        <v>29</v>
      </c>
      <c r="I2086" s="646"/>
      <c r="J2086" s="40">
        <f>+$D$2102</f>
        <v>44086</v>
      </c>
      <c r="K2086" s="24"/>
      <c r="L2086" s="24"/>
      <c r="M2086" s="24"/>
      <c r="N2086" s="25"/>
      <c r="O2086" s="197"/>
      <c r="P2086" s="29"/>
    </row>
    <row r="2087" spans="1:17" ht="15.95" customHeight="1" x14ac:dyDescent="0.25">
      <c r="A2087" s="121"/>
      <c r="B2087" s="23"/>
      <c r="C2087" s="59" t="s">
        <v>25</v>
      </c>
      <c r="D2087" s="658"/>
      <c r="E2087" s="659"/>
      <c r="F2087" s="483"/>
      <c r="G2087" s="484"/>
      <c r="H2087" s="649" t="s">
        <v>30</v>
      </c>
      <c r="I2087" s="650"/>
      <c r="J2087" s="42" t="str">
        <f t="array" ref="J2087">+IF(H2098&gt;=M4,MIN(IF($H$2091:$H$2099&gt;$M$4,$H$2091:$H$2099,"")),"vencida")</f>
        <v>vencida</v>
      </c>
      <c r="K2087" s="24"/>
      <c r="L2087" s="24"/>
      <c r="M2087" s="24"/>
      <c r="N2087" s="25"/>
      <c r="O2087" s="197"/>
      <c r="P2087" s="29"/>
    </row>
    <row r="2088" spans="1:17" ht="15.95" customHeight="1" x14ac:dyDescent="0.25">
      <c r="A2088" s="121"/>
      <c r="B2088" s="23"/>
      <c r="C2088" s="59" t="s">
        <v>6</v>
      </c>
      <c r="D2088" s="658" t="s">
        <v>222</v>
      </c>
      <c r="E2088" s="659"/>
      <c r="F2088" s="483"/>
      <c r="G2088" s="484"/>
      <c r="H2088" s="24"/>
      <c r="I2088" s="24"/>
      <c r="J2088" s="24"/>
      <c r="K2088" s="24"/>
      <c r="L2088" s="24"/>
      <c r="M2088" s="24"/>
      <c r="N2088" s="25"/>
      <c r="O2088" s="197"/>
      <c r="P2088" s="29"/>
    </row>
    <row r="2089" spans="1:17" ht="15.95" customHeight="1" x14ac:dyDescent="0.25">
      <c r="A2089" s="121"/>
      <c r="B2089" s="23"/>
      <c r="C2089" s="59" t="s">
        <v>8</v>
      </c>
      <c r="D2089" s="658" t="s">
        <v>61</v>
      </c>
      <c r="E2089" s="659"/>
      <c r="F2089" s="483"/>
      <c r="G2089" s="484"/>
      <c r="H2089" s="651" t="s">
        <v>41</v>
      </c>
      <c r="I2089" s="652"/>
      <c r="J2089" s="652"/>
      <c r="K2089" s="652"/>
      <c r="L2089" s="653"/>
      <c r="M2089" s="24"/>
      <c r="N2089" s="25"/>
      <c r="O2089" s="197"/>
      <c r="P2089" s="29"/>
    </row>
    <row r="2090" spans="1:17" ht="15.95" customHeight="1" x14ac:dyDescent="0.25">
      <c r="A2090" s="121"/>
      <c r="B2090" s="23"/>
      <c r="C2090" s="59" t="s">
        <v>33</v>
      </c>
      <c r="D2090" s="658" t="s">
        <v>62</v>
      </c>
      <c r="E2090" s="659"/>
      <c r="F2090" s="483"/>
      <c r="G2090" s="484"/>
      <c r="H2090" s="81" t="s">
        <v>0</v>
      </c>
      <c r="I2090" s="82" t="s">
        <v>2</v>
      </c>
      <c r="J2090" s="82" t="s">
        <v>3</v>
      </c>
      <c r="K2090" s="82" t="s">
        <v>4</v>
      </c>
      <c r="L2090" s="83" t="s">
        <v>5</v>
      </c>
      <c r="M2090" s="82" t="s">
        <v>44</v>
      </c>
      <c r="N2090" s="25"/>
      <c r="O2090" s="197"/>
      <c r="P2090" s="29"/>
    </row>
    <row r="2091" spans="1:17" ht="15.95" customHeight="1" x14ac:dyDescent="0.25">
      <c r="A2091" s="121"/>
      <c r="B2091" s="23"/>
      <c r="C2091" s="59" t="s">
        <v>34</v>
      </c>
      <c r="D2091" s="658" t="s">
        <v>223</v>
      </c>
      <c r="E2091" s="659"/>
      <c r="F2091" s="483"/>
      <c r="G2091" s="484"/>
      <c r="H2091" s="45"/>
      <c r="I2091" s="46"/>
      <c r="J2091" s="46"/>
      <c r="K2091" s="46"/>
      <c r="L2091" s="47"/>
      <c r="M2091" s="23"/>
      <c r="N2091" s="25"/>
      <c r="O2091" s="195"/>
      <c r="P2091" s="29"/>
    </row>
    <row r="2092" spans="1:17" ht="15.95" customHeight="1" x14ac:dyDescent="0.25">
      <c r="A2092" s="121"/>
      <c r="B2092" s="23"/>
      <c r="C2092" s="79" t="s">
        <v>38</v>
      </c>
      <c r="D2092" s="75"/>
      <c r="E2092" s="76"/>
      <c r="F2092" s="483"/>
      <c r="G2092" s="484"/>
      <c r="H2092" s="48">
        <f>+$D$2101</f>
        <v>42990</v>
      </c>
      <c r="I2092" s="70"/>
      <c r="J2092" s="49"/>
      <c r="K2092" s="49"/>
      <c r="L2092" s="50">
        <f>+D2103</f>
        <v>60000000</v>
      </c>
      <c r="M2092" s="93">
        <f>-L2092</f>
        <v>-60000000</v>
      </c>
      <c r="N2092" s="25"/>
      <c r="O2092" s="195"/>
      <c r="P2092" s="29"/>
    </row>
    <row r="2093" spans="1:17" ht="15.95" customHeight="1" x14ac:dyDescent="0.25">
      <c r="A2093" s="121"/>
      <c r="B2093" s="23"/>
      <c r="C2093" s="59"/>
      <c r="D2093" s="73"/>
      <c r="E2093" s="74"/>
      <c r="F2093" s="483"/>
      <c r="G2093" s="484"/>
      <c r="H2093" s="51">
        <f>IF(DAY(H2092)=DAY($H$2092),IF(WEEKDAY(EDATE(H2092,$D$2104),3)&lt;5,EDATE(H2092,$D$2104),WORKDAY(EDATE(H2092,$D$2104),1)),IF(WEEKDAY(EDATE($H$2092,$D$2104*COUNT($H$2092:H2092)),3)&lt;5,EDATE($H$2092,$D$2104*COUNT($H$2092:H2092)),WORKDAY(EDATE($H$2092,$D$2104*COUNT($H$2092:H2092)),1)))</f>
        <v>43171</v>
      </c>
      <c r="I2093" s="71" t="s">
        <v>7</v>
      </c>
      <c r="J2093" s="52">
        <f>(IF(AND($D$2107&lt;&gt;"",$D$2107&gt;(AVERAGE(VLOOKUP(WORKDAY.INTL(H2093,-7,1,),'Tasas-TC'!A:B,2,FALSE),VLOOKUP(WORKDAY.INTL(H2092,-7,1,),'Tasas-TC'!A:B,2,FALSE))+$D$2106)),$D$2107,IF(AND($D$2108&lt;&gt;"",$D$2108&lt;(AVERAGE(VLOOKUP(WORKDAY.INTL(H2093,-7,1,),'Tasas-TC'!A:B,2,FALSE),VLOOKUP(WORKDAY.INTL(H2092,-7,1,),'Tasas-TC'!A:B,2,FALSE))+$D$2106)),$D$2108,(AVERAGE(VLOOKUP(WORKDAY.INTL(H2093,-7,1,),'Tasas-TC'!A:B,2,FALSE),VLOOKUP(WORKDAY.INTL(H2092,-7,1,),'Tasas-TC'!A:B,2,FALSE))+$D$2106)))/360)*(H2093-H2092)*L2092</f>
        <v>8559791.666666666</v>
      </c>
      <c r="K2093" s="52">
        <f t="shared" ref="K2093:K2098" si="207">+IF(OR(I2093="A + C",I2093="A"),$D$2103*$D$2109,0)</f>
        <v>0</v>
      </c>
      <c r="L2093" s="53">
        <f t="shared" ref="L2093:L2098" si="208">+L2092-K2093</f>
        <v>60000000</v>
      </c>
      <c r="M2093" s="94">
        <f t="shared" ref="M2093:M2098" si="209">+J2093+K2093</f>
        <v>8559791.666666666</v>
      </c>
      <c r="N2093" s="25"/>
      <c r="O2093" s="195"/>
      <c r="P2093" s="29"/>
    </row>
    <row r="2094" spans="1:17" ht="15.95" customHeight="1" x14ac:dyDescent="0.25">
      <c r="A2094" s="121"/>
      <c r="B2094" s="23"/>
      <c r="C2094" s="60"/>
      <c r="D2094" s="77"/>
      <c r="E2094" s="78"/>
      <c r="F2094" s="483"/>
      <c r="G2094" s="484"/>
      <c r="H2094" s="51">
        <f>IF(DAY(H2093)=DAY($H$2092),IF(WEEKDAY(EDATE(H2093,$D$2104),3)&lt;5,EDATE(H2093,$D$2104),WORKDAY(EDATE(H2093,$D$2104),1)),IF(WEEKDAY(EDATE($H$2092,$D$2104*COUNT($H$2092:H2093)),3)&lt;5,EDATE($H$2092,$D$2104*COUNT($H$2092:H2093)),WORKDAY(EDATE($H$2092,$D$2104*COUNT($H$2092:H2093)),1)))</f>
        <v>43355</v>
      </c>
      <c r="I2094" s="71" t="s">
        <v>13</v>
      </c>
      <c r="J2094" s="52">
        <f>(IF(AND($D$2107&lt;&gt;"",$D$2107&gt;(AVERAGE(VLOOKUP(WORKDAY.INTL(H2094,-7,1,),'Tasas-TC'!A:B,2,FALSE),VLOOKUP(WORKDAY.INTL(H2093,-7,1,),'Tasas-TC'!A:B,2,FALSE))+$D$2106)),$D$2107,IF(AND($D$2108&lt;&gt;"",$D$2108&lt;(AVERAGE(VLOOKUP(WORKDAY.INTL(H2094,-7,1,),'Tasas-TC'!A:B,2,FALSE),VLOOKUP(WORKDAY.INTL(H2093,-7,1,),'Tasas-TC'!A:B,2,FALSE))+$D$2106)),$D$2108,(AVERAGE(VLOOKUP(WORKDAY.INTL(H2094,-7,1,),'Tasas-TC'!A:B,2,FALSE),VLOOKUP(WORKDAY.INTL(H2093,-7,1,),'Tasas-TC'!A:B,2,FALSE))+$D$2106)))/360)*(H2094-H2093)*L2093</f>
        <v>10426666.666666666</v>
      </c>
      <c r="K2094" s="52">
        <f t="shared" si="207"/>
        <v>12000000</v>
      </c>
      <c r="L2094" s="53">
        <f t="shared" si="208"/>
        <v>48000000</v>
      </c>
      <c r="M2094" s="94">
        <f t="shared" si="209"/>
        <v>22426666.666666664</v>
      </c>
      <c r="N2094" s="25"/>
      <c r="O2094" s="195"/>
      <c r="P2094" s="29"/>
    </row>
    <row r="2095" spans="1:17" ht="15.95" customHeight="1" x14ac:dyDescent="0.25">
      <c r="A2095" s="121"/>
      <c r="B2095" s="23"/>
      <c r="C2095" s="60"/>
      <c r="D2095" s="55" t="str">
        <f>+B2083</f>
        <v>Sicom IV</v>
      </c>
      <c r="E2095" s="64"/>
      <c r="F2095" s="483"/>
      <c r="G2095" s="484">
        <f>+J2085</f>
        <v>0</v>
      </c>
      <c r="H2095" s="51">
        <f>IF(DAY(H2094)=DAY($H$2092),IF(WEEKDAY(EDATE(H2094,$D$2104),3)&lt;5,EDATE(H2094,$D$2104),WORKDAY(EDATE(H2094,$D$2104),1)),IF(WEEKDAY(EDATE($H$2092,$D$2104*COUNT($H$2092:H2094)),3)&lt;5,EDATE($H$2092,$D$2104*COUNT($H$2092:H2094)),WORKDAY(EDATE($H$2092,$D$2104*COUNT($H$2092:H2094)),1)))</f>
        <v>43536</v>
      </c>
      <c r="I2095" s="71" t="s">
        <v>13</v>
      </c>
      <c r="J2095" s="52">
        <f>(IF(AND($D$2107&lt;&gt;"",$D$2107&gt;(AVERAGE(VLOOKUP(WORKDAY.INTL(H2095,-7,1,),'Tasas-TC'!A:B,2,FALSE),VLOOKUP(WORKDAY.INTL(H2094,-7,1,),'Tasas-TC'!A:B,2,FALSE))+$D$2106)),$D$2107,IF(AND($D$2108&lt;&gt;"",$D$2108&lt;(AVERAGE(VLOOKUP(WORKDAY.INTL(H2095,-7,1,),'Tasas-TC'!A:B,2,FALSE),VLOOKUP(WORKDAY.INTL(H2094,-7,1,),'Tasas-TC'!A:B,2,FALSE))+$D$2106)),$D$2108,(AVERAGE(VLOOKUP(WORKDAY.INTL(H2095,-7,1,),'Tasas-TC'!A:B,2,FALSE),VLOOKUP(WORKDAY.INTL(H2094,-7,1,),'Tasas-TC'!A:B,2,FALSE))+$D$2106)))/360)*(H2095-H2094)*L2094</f>
        <v>8205333.333333334</v>
      </c>
      <c r="K2095" s="52">
        <f t="shared" si="207"/>
        <v>12000000</v>
      </c>
      <c r="L2095" s="53">
        <f t="shared" si="208"/>
        <v>36000000</v>
      </c>
      <c r="M2095" s="94">
        <f t="shared" si="209"/>
        <v>20205333.333333336</v>
      </c>
      <c r="N2095" s="25"/>
      <c r="O2095" s="195"/>
      <c r="P2095" s="29"/>
    </row>
    <row r="2096" spans="1:17" ht="15.95" customHeight="1" x14ac:dyDescent="0.25">
      <c r="A2096" s="121"/>
      <c r="B2096" s="32"/>
      <c r="D2096" s="644"/>
      <c r="E2096" s="660"/>
      <c r="F2096" s="483"/>
      <c r="G2096" s="484"/>
      <c r="H2096" s="51">
        <f>IF(DAY(H2095)=DAY($H$2092),IF(WEEKDAY(EDATE(H2095,$D$2104),3)&lt;5,EDATE(H2095,$D$2104),WORKDAY(EDATE(H2095,$D$2104),1)),IF(WEEKDAY(EDATE($H$2092,$D$2104*COUNT($H$2092:H2095)),3)&lt;5,EDATE($H$2092,$D$2104*COUNT($H$2092:H2095)),WORKDAY(EDATE($H$2092,$D$2104*COUNT($H$2092:H2095)),1)))</f>
        <v>43720</v>
      </c>
      <c r="I2096" s="71" t="s">
        <v>13</v>
      </c>
      <c r="J2096" s="52">
        <f>(IF(AND($D$2107&lt;&gt;"",$D$2107&gt;(AVERAGE(VLOOKUP(WORKDAY.INTL(H2096,-7,1,),'Tasas-TC'!A:B,2,FALSE),VLOOKUP(WORKDAY.INTL(H2095,-7,1,),'Tasas-TC'!A:B,2,FALSE))+$D$2106)),$D$2107,IF(AND($D$2108&lt;&gt;"",$D$2108&lt;(AVERAGE(VLOOKUP(WORKDAY.INTL(H2096,-7,1,),'Tasas-TC'!A:B,2,FALSE),VLOOKUP(WORKDAY.INTL(H2095,-7,1,),'Tasas-TC'!A:B,2,FALSE))+$D$2106)),$D$2108,(AVERAGE(VLOOKUP(WORKDAY.INTL(H2096,-7,1,),'Tasas-TC'!A:B,2,FALSE),VLOOKUP(WORKDAY.INTL(H2095,-7,1,),'Tasas-TC'!A:B,2,FALSE))+$D$2106)))/360)*(H2096-H2095)*L2095</f>
        <v>6256000</v>
      </c>
      <c r="K2096" s="52">
        <f t="shared" si="207"/>
        <v>12000000</v>
      </c>
      <c r="L2096" s="53">
        <f t="shared" si="208"/>
        <v>24000000</v>
      </c>
      <c r="M2096" s="94">
        <f t="shared" si="209"/>
        <v>18256000</v>
      </c>
      <c r="N2096" s="25"/>
      <c r="O2096" s="195"/>
      <c r="P2096" s="29"/>
    </row>
    <row r="2097" spans="1:16" ht="15.95" customHeight="1" x14ac:dyDescent="0.25">
      <c r="A2097" s="121"/>
      <c r="B2097" s="23"/>
      <c r="C2097" s="638" t="s">
        <v>36</v>
      </c>
      <c r="D2097" s="640"/>
      <c r="E2097" s="36"/>
      <c r="F2097" s="483"/>
      <c r="G2097" s="484"/>
      <c r="H2097" s="51">
        <f>IF(DAY(H2096)=DAY($H$2092),IF(WEEKDAY(EDATE(H2096,$D$2104),3)&lt;5,EDATE(H2096,$D$2104),WORKDAY(EDATE(H2096,$D$2104),1)),IF(WEEKDAY(EDATE($H$2092,$D$2104*COUNT($H$2092:H2096)),3)&lt;5,EDATE($H$2092,$D$2104*COUNT($H$2092:H2096)),WORKDAY(EDATE($H$2092,$D$2104*COUNT($H$2092:H2096)),1)))</f>
        <v>43902</v>
      </c>
      <c r="I2097" s="71" t="s">
        <v>13</v>
      </c>
      <c r="J2097" s="52">
        <f>(IF(AND($D$2107&lt;&gt;"",$D$2107&gt;(AVERAGE(VLOOKUP(WORKDAY.INTL(H2097,-7,1,),'Tasas-TC'!A:B,2,FALSE),VLOOKUP(WORKDAY.INTL(H2096,-7,1,),'Tasas-TC'!A:B,2,FALSE))+$D$2106)),$D$2107,IF(AND($D$2108&lt;&gt;"",$D$2108&lt;(AVERAGE(VLOOKUP(WORKDAY.INTL(H2097,-7,1,),'Tasas-TC'!A:B,2,FALSE),VLOOKUP(WORKDAY.INTL(H2096,-7,1,),'Tasas-TC'!A:B,2,FALSE))+$D$2106)),$D$2108,(AVERAGE(VLOOKUP(WORKDAY.INTL(H2097,-7,1,),'Tasas-TC'!A:B,2,FALSE),VLOOKUP(WORKDAY.INTL(H2096,-7,1,),'Tasas-TC'!A:B,2,FALSE))+$D$2106)))/360)*(H2097-H2096)*L2096</f>
        <v>4125333.3333333335</v>
      </c>
      <c r="K2097" s="52">
        <f t="shared" si="207"/>
        <v>12000000</v>
      </c>
      <c r="L2097" s="53">
        <f t="shared" si="208"/>
        <v>12000000</v>
      </c>
      <c r="M2097" s="94">
        <f t="shared" si="209"/>
        <v>16125333.333333334</v>
      </c>
      <c r="N2097" s="25"/>
      <c r="O2097" s="195"/>
      <c r="P2097" s="29"/>
    </row>
    <row r="2098" spans="1:16" ht="15.95" customHeight="1" x14ac:dyDescent="0.25">
      <c r="A2098" s="121"/>
      <c r="B2098" s="23"/>
      <c r="C2098" s="59"/>
      <c r="D2098" s="62"/>
      <c r="E2098" s="36"/>
      <c r="F2098" s="483"/>
      <c r="G2098" s="484"/>
      <c r="H2098" s="51">
        <f>IF(DAY(H2097)=DAY($H$2092),IF(WEEKDAY(EDATE(H2097,$D$2104),3)&lt;5,EDATE(H2097,$D$2104),WORKDAY(EDATE(H2097,$D$2104),1)),IF(WEEKDAY(EDATE($H$2092,$D$2104*COUNT($H$2092:H2097)),3)&lt;5,EDATE($H$2092,$D$2104*COUNT($H$2092:H2097)),WORKDAY(EDATE($H$2092,$D$2104*COUNT($H$2092:H2097)),1)))</f>
        <v>44088</v>
      </c>
      <c r="I2098" s="71" t="s">
        <v>13</v>
      </c>
      <c r="J2098" s="52">
        <f>(IF(AND($D$2107&lt;&gt;"",$D$2107&gt;(AVERAGE(VLOOKUP(WORKDAY.INTL(H2098,-7,1,),'Tasas-TC'!A:B,2,FALSE),VLOOKUP(WORKDAY.INTL(H2097,-7,1,),'Tasas-TC'!A:B,2,FALSE))+$D$2106)),$D$2107,IF(AND($D$2108&lt;&gt;"",$D$2108&lt;(AVERAGE(VLOOKUP(WORKDAY.INTL(H2098,-7,1,),'Tasas-TC'!A:B,2,FALSE),VLOOKUP(WORKDAY.INTL(H2097,-7,1,),'Tasas-TC'!A:B,2,FALSE))+$D$2106)),$D$2108,(AVERAGE(VLOOKUP(WORKDAY.INTL(H2098,-7,1,),'Tasas-TC'!A:B,2,FALSE),VLOOKUP(WORKDAY.INTL(H2097,-7,1,),'Tasas-TC'!A:B,2,FALSE))+$D$2106)))/360)*(H2098-H2097)*L2097</f>
        <v>2108000</v>
      </c>
      <c r="K2098" s="52">
        <f t="shared" si="207"/>
        <v>12000000</v>
      </c>
      <c r="L2098" s="53">
        <f t="shared" si="208"/>
        <v>0</v>
      </c>
      <c r="M2098" s="94">
        <f t="shared" si="209"/>
        <v>14108000</v>
      </c>
      <c r="N2098" s="25"/>
      <c r="O2098" s="195"/>
      <c r="P2098" s="29"/>
    </row>
    <row r="2099" spans="1:16" ht="15.95" customHeight="1" x14ac:dyDescent="0.25">
      <c r="A2099" s="121"/>
      <c r="B2099" s="23"/>
      <c r="C2099" s="59" t="s">
        <v>9</v>
      </c>
      <c r="D2099" s="98" t="s">
        <v>18</v>
      </c>
      <c r="E2099" s="36"/>
      <c r="F2099" s="483"/>
      <c r="G2099" s="484"/>
      <c r="H2099" s="54"/>
      <c r="I2099" s="61"/>
      <c r="J2099" s="55"/>
      <c r="K2099" s="56"/>
      <c r="L2099" s="57"/>
      <c r="M2099" s="95"/>
      <c r="N2099" s="25"/>
      <c r="O2099" s="195"/>
      <c r="P2099" s="29"/>
    </row>
    <row r="2100" spans="1:16" ht="15.95" customHeight="1" x14ac:dyDescent="0.25">
      <c r="A2100" s="121"/>
      <c r="B2100" s="23"/>
      <c r="C2100" s="59" t="s">
        <v>10</v>
      </c>
      <c r="D2100" s="65">
        <v>42985</v>
      </c>
      <c r="E2100" s="36"/>
      <c r="F2100" s="483"/>
      <c r="G2100" s="484"/>
      <c r="H2100" s="24"/>
      <c r="I2100" s="24"/>
      <c r="J2100" s="24"/>
      <c r="K2100" s="24"/>
      <c r="L2100" s="24"/>
      <c r="M2100" s="24"/>
      <c r="N2100" s="25"/>
      <c r="O2100" s="195"/>
      <c r="P2100" s="29"/>
    </row>
    <row r="2101" spans="1:16" ht="15.95" customHeight="1" x14ac:dyDescent="0.25">
      <c r="A2101" s="121"/>
      <c r="B2101" s="23"/>
      <c r="C2101" s="59" t="s">
        <v>11</v>
      </c>
      <c r="D2101" s="65">
        <v>42990</v>
      </c>
      <c r="E2101" s="36"/>
      <c r="F2101" s="483"/>
      <c r="G2101" s="484"/>
      <c r="H2101" s="656" t="s">
        <v>43</v>
      </c>
      <c r="I2101" s="656"/>
      <c r="J2101" s="92">
        <v>0</v>
      </c>
      <c r="K2101" s="92"/>
      <c r="L2101" s="24"/>
      <c r="M2101" s="24"/>
      <c r="N2101" s="25"/>
      <c r="O2101" s="195"/>
      <c r="P2101" s="29"/>
    </row>
    <row r="2102" spans="1:16" ht="15.95" customHeight="1" x14ac:dyDescent="0.25">
      <c r="A2102" s="121"/>
      <c r="B2102" s="23"/>
      <c r="C2102" s="59" t="s">
        <v>12</v>
      </c>
      <c r="D2102" s="65">
        <v>44086</v>
      </c>
      <c r="E2102" s="36"/>
      <c r="F2102" s="483"/>
      <c r="G2102" s="484"/>
      <c r="H2102" s="657"/>
      <c r="I2102" s="657"/>
      <c r="J2102" s="392"/>
      <c r="K2102" s="24"/>
      <c r="L2102" s="33"/>
      <c r="M2102" s="33"/>
      <c r="N2102" s="25"/>
      <c r="O2102" s="195"/>
      <c r="P2102" s="29"/>
    </row>
    <row r="2103" spans="1:16" ht="15.95" customHeight="1" x14ac:dyDescent="0.25">
      <c r="A2103" s="121"/>
      <c r="B2103" s="23"/>
      <c r="C2103" s="59" t="s">
        <v>27</v>
      </c>
      <c r="D2103" s="66">
        <v>60000000</v>
      </c>
      <c r="E2103" s="41"/>
      <c r="F2103" s="480"/>
      <c r="G2103" s="484"/>
      <c r="H2103" s="24"/>
      <c r="I2103" s="24"/>
      <c r="J2103" s="24"/>
      <c r="K2103" s="24"/>
      <c r="L2103" s="24"/>
      <c r="M2103" s="24"/>
      <c r="N2103" s="25"/>
      <c r="O2103" s="195"/>
      <c r="P2103" s="29"/>
    </row>
    <row r="2104" spans="1:16" ht="15.95" customHeight="1" x14ac:dyDescent="0.25">
      <c r="A2104" s="121"/>
      <c r="B2104" s="23"/>
      <c r="C2104" s="59" t="s">
        <v>26</v>
      </c>
      <c r="D2104" s="66">
        <v>6</v>
      </c>
      <c r="E2104" s="36"/>
      <c r="F2104" s="480"/>
      <c r="G2104" s="485"/>
      <c r="H2104" s="638" t="s">
        <v>44</v>
      </c>
      <c r="I2104" s="639"/>
      <c r="J2104" s="639"/>
      <c r="K2104" s="639"/>
      <c r="L2104" s="639"/>
      <c r="M2104" s="640"/>
      <c r="N2104" s="25"/>
      <c r="O2104" s="195"/>
      <c r="P2104" s="29"/>
    </row>
    <row r="2105" spans="1:16" ht="15.95" customHeight="1" x14ac:dyDescent="0.25">
      <c r="A2105" s="121"/>
      <c r="B2105" s="23"/>
      <c r="C2105" s="59" t="s">
        <v>19</v>
      </c>
      <c r="D2105" s="67" t="s">
        <v>20</v>
      </c>
      <c r="E2105" s="43"/>
      <c r="F2105" s="480"/>
      <c r="G2105" s="485"/>
      <c r="H2105" s="23"/>
      <c r="I2105" s="24"/>
      <c r="J2105" s="24"/>
      <c r="K2105" s="24"/>
      <c r="L2105" s="24"/>
      <c r="M2105" s="25"/>
      <c r="N2105" s="25"/>
      <c r="O2105" s="195"/>
      <c r="P2105" s="29"/>
    </row>
    <row r="2106" spans="1:16" ht="15.95" customHeight="1" x14ac:dyDescent="0.25">
      <c r="A2106" s="121"/>
      <c r="B2106" s="23"/>
      <c r="C2106" s="59" t="s">
        <v>14</v>
      </c>
      <c r="D2106" s="68">
        <v>6.5000000000000002E-2</v>
      </c>
      <c r="E2106" s="43"/>
      <c r="F2106" s="480"/>
      <c r="G2106" s="485"/>
      <c r="H2106" s="23"/>
      <c r="I2106" s="24"/>
      <c r="J2106" s="24"/>
      <c r="K2106" s="24"/>
      <c r="L2106" s="24"/>
      <c r="M2106" s="25"/>
      <c r="N2106" s="25"/>
      <c r="O2106" s="194" t="str">
        <f>+D2260</f>
        <v>ON Pyme CNV Garantizada</v>
      </c>
      <c r="P2106" s="29"/>
    </row>
    <row r="2107" spans="1:16" ht="15.95" customHeight="1" x14ac:dyDescent="0.25">
      <c r="A2107" s="121"/>
      <c r="B2107" s="23"/>
      <c r="C2107" s="59" t="s">
        <v>31</v>
      </c>
      <c r="D2107" s="68">
        <v>0.18</v>
      </c>
      <c r="E2107" s="43"/>
      <c r="F2107" s="480"/>
      <c r="G2107" s="485"/>
      <c r="H2107" s="96"/>
      <c r="I2107" s="35"/>
      <c r="J2107" s="24"/>
      <c r="K2107" s="24"/>
      <c r="L2107" s="24"/>
      <c r="M2107" s="25"/>
      <c r="N2107" s="25"/>
      <c r="O2107" s="195"/>
      <c r="P2107" s="29"/>
    </row>
    <row r="2108" spans="1:16" ht="15.95" customHeight="1" x14ac:dyDescent="0.25">
      <c r="A2108" s="121"/>
      <c r="B2108" s="23"/>
      <c r="C2108" s="59" t="s">
        <v>32</v>
      </c>
      <c r="D2108" s="68">
        <v>0.34</v>
      </c>
      <c r="E2108" s="44"/>
      <c r="F2108" s="480"/>
      <c r="G2108" s="485"/>
      <c r="H2108" s="23"/>
      <c r="I2108" s="24"/>
      <c r="J2108" s="24"/>
      <c r="K2108" s="24"/>
      <c r="L2108" s="24"/>
      <c r="M2108" s="25"/>
      <c r="N2108" s="25"/>
      <c r="O2108" s="194" t="str">
        <f>+IF(J2258="vencida",IF(D2260='Reporte - Oscuro'!$C$40,'Reporte - Oscuro'!$C$40&amp;" vencida",IF(D2260='Reporte - Oscuro'!$C$41,'Reporte - Oscuro'!$C$41&amp;" vencida",IF(D2260='Reporte - Oscuro'!$C$42,'Reporte - Oscuro'!$C$42&amp;" vencida",'Reporte - Oscuro'!$C$43&amp;" vencida"))),D2260&amp;" vigente")</f>
        <v>ON Pyme CNV Garantizada vencida</v>
      </c>
      <c r="P2108" s="29"/>
    </row>
    <row r="2109" spans="1:16" ht="15.95" customHeight="1" x14ac:dyDescent="0.25">
      <c r="A2109" s="121"/>
      <c r="B2109" s="23"/>
      <c r="C2109" s="59" t="s">
        <v>219</v>
      </c>
      <c r="D2109" s="69">
        <v>0.2</v>
      </c>
      <c r="E2109" s="24"/>
      <c r="F2109" s="480"/>
      <c r="G2109" s="485"/>
      <c r="H2109" s="23"/>
      <c r="I2109" s="24"/>
      <c r="J2109" s="24"/>
      <c r="K2109" s="24"/>
      <c r="L2109" s="24"/>
      <c r="M2109" s="25"/>
      <c r="N2109" s="25"/>
      <c r="O2109" s="195"/>
      <c r="P2109" s="29"/>
    </row>
    <row r="2110" spans="1:16" ht="15.95" customHeight="1" x14ac:dyDescent="0.25">
      <c r="A2110" s="121"/>
      <c r="B2110" s="23"/>
      <c r="C2110" s="63"/>
      <c r="D2110" s="64"/>
      <c r="E2110" s="24"/>
      <c r="F2110" s="480"/>
      <c r="G2110" s="485"/>
      <c r="H2110" s="23"/>
      <c r="I2110" s="24"/>
      <c r="J2110" s="24"/>
      <c r="K2110" s="24"/>
      <c r="L2110" s="24"/>
      <c r="M2110" s="25"/>
      <c r="N2110" s="25"/>
      <c r="O2110" s="195"/>
      <c r="P2110" s="29"/>
    </row>
    <row r="2111" spans="1:16" ht="15.95" customHeight="1" x14ac:dyDescent="0.25">
      <c r="A2111" s="121"/>
      <c r="B2111" s="23"/>
      <c r="C2111" s="24"/>
      <c r="D2111" s="24"/>
      <c r="E2111" s="24"/>
      <c r="F2111" s="480"/>
      <c r="G2111" s="485"/>
      <c r="H2111" s="23"/>
      <c r="I2111" s="24"/>
      <c r="J2111" s="24"/>
      <c r="K2111" s="24"/>
      <c r="L2111" s="24"/>
      <c r="M2111" s="25"/>
      <c r="N2111" s="25"/>
      <c r="O2111" s="195"/>
      <c r="P2111" s="29"/>
    </row>
    <row r="2112" spans="1:16" ht="15.95" customHeight="1" x14ac:dyDescent="0.25">
      <c r="A2112" s="121"/>
      <c r="B2112" s="23"/>
      <c r="C2112" s="24"/>
      <c r="D2112" s="24"/>
      <c r="E2112" s="24"/>
      <c r="F2112" s="480"/>
      <c r="G2112" s="485"/>
      <c r="H2112" s="23"/>
      <c r="I2112" s="24"/>
      <c r="J2112" s="24"/>
      <c r="K2112" s="24"/>
      <c r="L2112" s="24"/>
      <c r="M2112" s="25"/>
      <c r="N2112" s="25"/>
      <c r="O2112" s="195"/>
      <c r="P2112" s="29"/>
    </row>
    <row r="2113" spans="1:15" ht="15.95" customHeight="1" x14ac:dyDescent="0.25">
      <c r="A2113" s="121"/>
      <c r="B2113" s="23"/>
      <c r="C2113" s="24"/>
      <c r="D2113" s="24"/>
      <c r="E2113" s="24"/>
      <c r="F2113" s="480"/>
      <c r="G2113" s="485"/>
      <c r="H2113" s="23"/>
      <c r="I2113" s="24"/>
      <c r="J2113" s="24"/>
      <c r="K2113" s="24"/>
      <c r="L2113" s="24"/>
      <c r="M2113" s="25"/>
      <c r="N2113" s="25"/>
      <c r="O2113" s="197">
        <f>+M2263</f>
        <v>-50000000</v>
      </c>
    </row>
    <row r="2114" spans="1:15" ht="15.95" customHeight="1" x14ac:dyDescent="0.25">
      <c r="A2114" s="121"/>
      <c r="B2114" s="23"/>
      <c r="C2114" s="24"/>
      <c r="D2114" s="24"/>
      <c r="E2114" s="24"/>
      <c r="F2114" s="480"/>
      <c r="G2114" s="485"/>
      <c r="H2114" s="23"/>
      <c r="I2114" s="24"/>
      <c r="J2114" s="24"/>
      <c r="K2114" s="24"/>
      <c r="L2114" s="24"/>
      <c r="M2114" s="25"/>
      <c r="N2114" s="25"/>
      <c r="O2114" s="197">
        <f t="shared" ref="O2114:O2121" si="210">+O2113+M2264</f>
        <v>-44228906.25</v>
      </c>
    </row>
    <row r="2115" spans="1:15" ht="15.95" customHeight="1" x14ac:dyDescent="0.25">
      <c r="A2115" s="121"/>
      <c r="B2115" s="23"/>
      <c r="C2115" s="24"/>
      <c r="D2115" s="24"/>
      <c r="E2115" s="24"/>
      <c r="F2115" s="480"/>
      <c r="G2115" s="485"/>
      <c r="H2115" s="23"/>
      <c r="I2115" s="24"/>
      <c r="J2115" s="24"/>
      <c r="K2115" s="24"/>
      <c r="L2115" s="24"/>
      <c r="M2115" s="25"/>
      <c r="N2115" s="25"/>
      <c r="O2115" s="197">
        <f t="shared" si="210"/>
        <v>-36598177.083333336</v>
      </c>
    </row>
    <row r="2116" spans="1:15" ht="15.95" customHeight="1" x14ac:dyDescent="0.25">
      <c r="A2116" s="121"/>
      <c r="B2116" s="23"/>
      <c r="C2116" s="24"/>
      <c r="D2116" s="24"/>
      <c r="E2116" s="24"/>
      <c r="F2116" s="480"/>
      <c r="G2116" s="485"/>
      <c r="H2116" s="26"/>
      <c r="I2116" s="27"/>
      <c r="J2116" s="27"/>
      <c r="K2116" s="27"/>
      <c r="L2116" s="27"/>
      <c r="M2116" s="28"/>
      <c r="N2116" s="25"/>
      <c r="O2116" s="197">
        <f t="shared" si="210"/>
        <v>-27406163.194444448</v>
      </c>
    </row>
    <row r="2117" spans="1:15" ht="15.95" customHeight="1" x14ac:dyDescent="0.25">
      <c r="A2117" s="121"/>
      <c r="B2117" s="26"/>
      <c r="C2117" s="27"/>
      <c r="D2117" s="27"/>
      <c r="E2117" s="27"/>
      <c r="F2117" s="481"/>
      <c r="G2117" s="486"/>
      <c r="H2117" s="27"/>
      <c r="I2117" s="27"/>
      <c r="J2117" s="27"/>
      <c r="K2117" s="27"/>
      <c r="L2117" s="27"/>
      <c r="M2117" s="27"/>
      <c r="N2117" s="28"/>
      <c r="O2117" s="197">
        <f t="shared" si="210"/>
        <v>-17822829.861111116</v>
      </c>
    </row>
    <row r="2118" spans="1:15" ht="15.95" customHeight="1" x14ac:dyDescent="0.25">
      <c r="A2118" s="121"/>
      <c r="B2118" s="635" t="s">
        <v>181</v>
      </c>
      <c r="C2118" s="636"/>
      <c r="D2118" s="636"/>
      <c r="E2118" s="636"/>
      <c r="F2118" s="636"/>
      <c r="G2118" s="636"/>
      <c r="H2118" s="636"/>
      <c r="I2118" s="636"/>
      <c r="J2118" s="636"/>
      <c r="K2118" s="636"/>
      <c r="L2118" s="636"/>
      <c r="M2118" s="636"/>
      <c r="N2118" s="637"/>
      <c r="O2118" s="197">
        <f t="shared" si="210"/>
        <v>-7443359.3750000037</v>
      </c>
    </row>
    <row r="2119" spans="1:15" ht="15.95" customHeight="1" x14ac:dyDescent="0.25">
      <c r="A2119" s="121"/>
      <c r="B2119" s="23"/>
      <c r="C2119" s="24"/>
      <c r="D2119" s="24"/>
      <c r="E2119" s="24"/>
      <c r="F2119" s="483"/>
      <c r="G2119" s="484"/>
      <c r="H2119" s="31"/>
      <c r="I2119" s="31"/>
      <c r="J2119" s="24"/>
      <c r="K2119" s="24"/>
      <c r="L2119" s="24"/>
      <c r="M2119" s="24"/>
      <c r="N2119" s="25"/>
      <c r="O2119" s="197">
        <f t="shared" si="210"/>
        <v>4771397.5694444422</v>
      </c>
    </row>
    <row r="2120" spans="1:15" ht="15.95" customHeight="1" x14ac:dyDescent="0.25">
      <c r="A2120" s="121"/>
      <c r="B2120" s="23"/>
      <c r="C2120" s="638" t="s">
        <v>37</v>
      </c>
      <c r="D2120" s="639"/>
      <c r="E2120" s="640"/>
      <c r="F2120" s="483"/>
      <c r="G2120" s="484"/>
      <c r="H2120" s="641" t="s">
        <v>28</v>
      </c>
      <c r="I2120" s="642"/>
      <c r="J2120" s="39">
        <f>+$D$2138-SUMIF($H$2126:$H$2131,"&lt;"&amp;$M$4,$K$2126:$K$2131)</f>
        <v>0</v>
      </c>
      <c r="K2120" s="24"/>
      <c r="L2120" s="24"/>
      <c r="M2120" s="24"/>
      <c r="N2120" s="25"/>
      <c r="O2120" s="197">
        <f t="shared" si="210"/>
        <v>19657508.680555552</v>
      </c>
    </row>
    <row r="2121" spans="1:15" ht="15.95" customHeight="1" x14ac:dyDescent="0.25">
      <c r="A2121" s="121"/>
      <c r="B2121" s="23"/>
      <c r="C2121" s="58"/>
      <c r="D2121" s="664"/>
      <c r="E2121" s="665"/>
      <c r="F2121" s="483"/>
      <c r="G2121" s="484"/>
      <c r="H2121" s="645" t="s">
        <v>29</v>
      </c>
      <c r="I2121" s="646"/>
      <c r="J2121" s="40">
        <f>+$D$2137</f>
        <v>44303</v>
      </c>
      <c r="K2121" s="24"/>
      <c r="L2121" s="24"/>
      <c r="M2121" s="24"/>
      <c r="N2121" s="25"/>
      <c r="O2121" s="197">
        <f t="shared" si="210"/>
        <v>85585807.291666657</v>
      </c>
    </row>
    <row r="2122" spans="1:15" ht="15.95" customHeight="1" x14ac:dyDescent="0.25">
      <c r="A2122" s="121"/>
      <c r="B2122" s="23"/>
      <c r="C2122" s="59" t="s">
        <v>25</v>
      </c>
      <c r="D2122" s="658"/>
      <c r="E2122" s="659"/>
      <c r="F2122" s="483"/>
      <c r="G2122" s="484"/>
      <c r="H2122" s="649" t="s">
        <v>30</v>
      </c>
      <c r="I2122" s="650"/>
      <c r="J2122" s="42" t="str">
        <f t="array" ref="J2122">+IF(H2131&gt;=M4,MIN(IF(H2126:H2132&gt;=$M$4,H2126:H2132,"")),"vencida")</f>
        <v>vencida</v>
      </c>
      <c r="K2122" s="24"/>
      <c r="L2122" s="24"/>
      <c r="M2122" s="24"/>
      <c r="N2122" s="25"/>
      <c r="O2122" s="195"/>
    </row>
    <row r="2123" spans="1:15" ht="15.95" customHeight="1" x14ac:dyDescent="0.25">
      <c r="A2123" s="121"/>
      <c r="B2123" s="23"/>
      <c r="C2123" s="59" t="s">
        <v>6</v>
      </c>
      <c r="D2123" s="658" t="s">
        <v>182</v>
      </c>
      <c r="E2123" s="659"/>
      <c r="F2123" s="483"/>
      <c r="G2123" s="484"/>
      <c r="H2123" s="24"/>
      <c r="I2123" s="24"/>
      <c r="J2123" s="24"/>
      <c r="K2123" s="24"/>
      <c r="L2123" s="24"/>
      <c r="M2123" s="24"/>
      <c r="N2123" s="25"/>
      <c r="O2123" s="195"/>
    </row>
    <row r="2124" spans="1:15" ht="15.95" customHeight="1" x14ac:dyDescent="0.25">
      <c r="A2124" s="121"/>
      <c r="B2124" s="23"/>
      <c r="C2124" s="59" t="s">
        <v>8</v>
      </c>
      <c r="D2124" s="658" t="s">
        <v>17</v>
      </c>
      <c r="E2124" s="659"/>
      <c r="F2124" s="483"/>
      <c r="G2124" s="484"/>
      <c r="H2124" s="651" t="s">
        <v>41</v>
      </c>
      <c r="I2124" s="652"/>
      <c r="J2124" s="652"/>
      <c r="K2124" s="652"/>
      <c r="L2124" s="653"/>
      <c r="M2124" s="24"/>
      <c r="N2124" s="25"/>
      <c r="O2124" s="195"/>
    </row>
    <row r="2125" spans="1:15" ht="15.95" customHeight="1" x14ac:dyDescent="0.25">
      <c r="A2125" s="121"/>
      <c r="B2125" s="23"/>
      <c r="C2125" s="59" t="s">
        <v>33</v>
      </c>
      <c r="D2125" s="73" t="s">
        <v>309</v>
      </c>
      <c r="E2125" s="273">
        <v>1</v>
      </c>
      <c r="F2125" s="483">
        <f>+E2125*J2120</f>
        <v>0</v>
      </c>
      <c r="G2125" s="484"/>
      <c r="H2125" s="81" t="s">
        <v>0</v>
      </c>
      <c r="I2125" s="82" t="s">
        <v>2</v>
      </c>
      <c r="J2125" s="82" t="s">
        <v>3</v>
      </c>
      <c r="K2125" s="82" t="s">
        <v>4</v>
      </c>
      <c r="L2125" s="83" t="s">
        <v>5</v>
      </c>
      <c r="M2125" s="82" t="s">
        <v>44</v>
      </c>
      <c r="N2125" s="25"/>
      <c r="O2125" s="195"/>
    </row>
    <row r="2126" spans="1:15" ht="15.95" customHeight="1" x14ac:dyDescent="0.25">
      <c r="A2126" s="121"/>
      <c r="B2126" s="23"/>
      <c r="C2126" s="59" t="s">
        <v>34</v>
      </c>
      <c r="D2126" s="658" t="s">
        <v>48</v>
      </c>
      <c r="E2126" s="659"/>
      <c r="F2126" s="483"/>
      <c r="G2126" s="484"/>
      <c r="H2126" s="45"/>
      <c r="I2126" s="46"/>
      <c r="J2126" s="46"/>
      <c r="K2126" s="46"/>
      <c r="L2126" s="47"/>
      <c r="M2126" s="23"/>
      <c r="N2126" s="25"/>
      <c r="O2126" s="195"/>
    </row>
    <row r="2127" spans="1:15" ht="15.95" customHeight="1" x14ac:dyDescent="0.25">
      <c r="A2127" s="121"/>
      <c r="B2127" s="23"/>
      <c r="C2127" s="79" t="s">
        <v>38</v>
      </c>
      <c r="D2127" s="75"/>
      <c r="E2127" s="76"/>
      <c r="F2127" s="483"/>
      <c r="G2127" s="484"/>
      <c r="H2127" s="48">
        <f>+$D$2136</f>
        <v>43572</v>
      </c>
      <c r="I2127" s="70"/>
      <c r="J2127" s="49"/>
      <c r="K2127" s="49"/>
      <c r="L2127" s="50">
        <f>+D2138</f>
        <v>2000000</v>
      </c>
      <c r="M2127" s="93">
        <f>-L2127</f>
        <v>-2000000</v>
      </c>
      <c r="N2127" s="25"/>
      <c r="O2127" s="195"/>
    </row>
    <row r="2128" spans="1:15" ht="15.95" customHeight="1" x14ac:dyDescent="0.25">
      <c r="A2128" s="121"/>
      <c r="B2128" s="23"/>
      <c r="C2128" s="59"/>
      <c r="D2128" s="73"/>
      <c r="E2128" s="74"/>
      <c r="F2128" s="483"/>
      <c r="G2128" s="484"/>
      <c r="H2128" s="51">
        <f>IF(DAY(H2127)=DAY($H$2127),IF(WEEKDAY(EDATE(H2127,$D$2139),3)&lt;5,EDATE(H2127,$D$2139),WORKDAY(EDATE(H2127,$D$2139),1)),IF(WEEKDAY(EDATE($H$2127,$D$2139*COUNT($H$2127:H2127)),3)&lt;5,EDATE($H$2127,$D$2139*COUNT($H$2127:H2127)),WORKDAY(EDATE($H$2127,$D$2139*COUNT($H$2127:H2127)),1)))</f>
        <v>43755</v>
      </c>
      <c r="I2128" s="71" t="s">
        <v>13</v>
      </c>
      <c r="J2128" s="52">
        <v>618260.41666666663</v>
      </c>
      <c r="K2128" s="52">
        <f>+IF(OR(I2128="A + C",I2128="A"),$D$2138*$D$2144,0)</f>
        <v>200000</v>
      </c>
      <c r="L2128" s="53">
        <f>+L2127-K2128</f>
        <v>1800000</v>
      </c>
      <c r="M2128" s="94">
        <f>+J2128+K2128</f>
        <v>818260.41666666663</v>
      </c>
      <c r="N2128" s="25"/>
      <c r="O2128" s="195"/>
    </row>
    <row r="2129" spans="1:15" ht="15.95" customHeight="1" x14ac:dyDescent="0.25">
      <c r="A2129" s="121"/>
      <c r="B2129" s="23"/>
      <c r="C2129" s="60"/>
      <c r="D2129" s="77"/>
      <c r="E2129" s="78"/>
      <c r="F2129" s="483"/>
      <c r="G2129" s="484"/>
      <c r="H2129" s="51">
        <f>IF(DAY(H2128)=DAY($H$2127),IF(WEEKDAY(EDATE(H2128,$D$2139),3)&lt;5,EDATE(H2128,$D$2139),WORKDAY(EDATE(H2128,$D$2139),1)),IF(WEEKDAY(EDATE($H$2127,$D$2139*COUNT($H$2127:H2128)),3)&lt;5,EDATE($H$2127,$D$2139*COUNT($H$2127:H2128)),WORKDAY(EDATE($H$2127,$D$2139*COUNT($H$2127:H2128)),1)))</f>
        <v>43938</v>
      </c>
      <c r="I2129" s="71" t="s">
        <v>13</v>
      </c>
      <c r="J2129" s="52">
        <v>457785.9375</v>
      </c>
      <c r="K2129" s="52">
        <f>+IF(OR(I2129="A + C",I2129="A"),$D$2138*$D$2144,0)</f>
        <v>200000</v>
      </c>
      <c r="L2129" s="53">
        <f>+L2128-K2129</f>
        <v>1600000</v>
      </c>
      <c r="M2129" s="94">
        <f>+J2129+K2129</f>
        <v>657785.9375</v>
      </c>
      <c r="N2129" s="25"/>
      <c r="O2129" s="195"/>
    </row>
    <row r="2130" spans="1:15" ht="15.95" customHeight="1" x14ac:dyDescent="0.25">
      <c r="A2130" s="121"/>
      <c r="B2130" s="23"/>
      <c r="C2130" s="60"/>
      <c r="D2130" s="55" t="str">
        <f>+B2118</f>
        <v>Sojas Argentinas I</v>
      </c>
      <c r="E2130" s="64"/>
      <c r="F2130" s="483"/>
      <c r="G2130" s="484">
        <f>+J2120</f>
        <v>0</v>
      </c>
      <c r="H2130" s="51">
        <f>IF(DAY(H2129)=DAY($H$2127),IF(WEEKDAY(EDATE(H2129,$D$2139),3)&lt;5,EDATE(H2129,$D$2139),WORKDAY(EDATE(H2129,$D$2139),1)),IF(WEEKDAY(EDATE($H$2127,$D$2139*COUNT($H$2127:H2129)),3)&lt;5,EDATE($H$2127,$D$2139*COUNT($H$2127:H2129)),WORKDAY(EDATE($H$2127,$D$2139*COUNT($H$2127:H2129)),1)))</f>
        <v>44123</v>
      </c>
      <c r="I2130" s="71" t="s">
        <v>13</v>
      </c>
      <c r="J2130" s="52">
        <v>280583.33333333331</v>
      </c>
      <c r="K2130" s="52">
        <f>+IF(OR(I2130="A + C",I2130="A"),$D$2138*$D$2145,0)</f>
        <v>800000</v>
      </c>
      <c r="L2130" s="53">
        <f>+L2129-K2130</f>
        <v>800000</v>
      </c>
      <c r="M2130" s="94">
        <f>+J2130+K2130</f>
        <v>1080583.3333333333</v>
      </c>
      <c r="N2130" s="25"/>
      <c r="O2130" s="195"/>
    </row>
    <row r="2131" spans="1:15" ht="15.95" customHeight="1" x14ac:dyDescent="0.25">
      <c r="A2131" s="121"/>
      <c r="B2131" s="32"/>
      <c r="D2131" s="644"/>
      <c r="E2131" s="660"/>
      <c r="F2131" s="483"/>
      <c r="G2131" s="484"/>
      <c r="H2131" s="51">
        <f>IF(DAY(H2130)=DAY($H$2127),IF(WEEKDAY(EDATE(H2130,$D$2139),3)&lt;5,EDATE(H2130,$D$2139),WORKDAY(EDATE(H2130,$D$2139),1)),IF(WEEKDAY(EDATE($H$2127,$D$2139*COUNT($H$2127:H2130)),3)&lt;5,EDATE($H$2127,$D$2139*COUNT($H$2127:H2130)),WORKDAY(EDATE($H$2127,$D$2139*COUNT($H$2127:H2130)),1)))</f>
        <v>44305</v>
      </c>
      <c r="I2131" s="71" t="s">
        <v>13</v>
      </c>
      <c r="J2131" s="52">
        <v>138016.66666666669</v>
      </c>
      <c r="K2131" s="52">
        <f>+IF(OR(I2131="A + C",I2131="A"),$D$2138*$D$2145,0)</f>
        <v>800000</v>
      </c>
      <c r="L2131" s="53">
        <f>+L2130-K2131</f>
        <v>0</v>
      </c>
      <c r="M2131" s="94">
        <f>+J2131+K2131</f>
        <v>938016.66666666674</v>
      </c>
      <c r="N2131" s="25"/>
      <c r="O2131" s="195"/>
    </row>
    <row r="2132" spans="1:15" ht="15.95" customHeight="1" x14ac:dyDescent="0.25">
      <c r="A2132" s="121"/>
      <c r="B2132" s="23"/>
      <c r="C2132" s="638" t="s">
        <v>36</v>
      </c>
      <c r="D2132" s="640"/>
      <c r="E2132" s="36"/>
      <c r="F2132" s="483"/>
      <c r="G2132" s="484"/>
      <c r="H2132" s="54"/>
      <c r="I2132" s="104"/>
      <c r="J2132" s="105"/>
      <c r="K2132" s="105"/>
      <c r="L2132" s="106"/>
      <c r="M2132" s="109"/>
      <c r="N2132" s="25"/>
      <c r="O2132" s="195"/>
    </row>
    <row r="2133" spans="1:15" ht="15.95" customHeight="1" x14ac:dyDescent="0.25">
      <c r="A2133" s="121"/>
      <c r="B2133" s="23"/>
      <c r="C2133" s="59"/>
      <c r="D2133" s="62"/>
      <c r="E2133" s="36"/>
      <c r="F2133" s="483"/>
      <c r="G2133" s="484"/>
      <c r="H2133" s="109"/>
      <c r="I2133" s="109"/>
      <c r="J2133" s="109"/>
      <c r="K2133" s="109"/>
      <c r="L2133" s="109"/>
      <c r="M2133" s="109"/>
      <c r="N2133" s="25"/>
      <c r="O2133" s="195"/>
    </row>
    <row r="2134" spans="1:15" ht="15.95" customHeight="1" x14ac:dyDescent="0.25">
      <c r="A2134" s="121"/>
      <c r="B2134" s="23"/>
      <c r="C2134" s="59" t="s">
        <v>9</v>
      </c>
      <c r="D2134" s="98" t="s">
        <v>18</v>
      </c>
      <c r="E2134" s="36"/>
      <c r="F2134" s="483"/>
      <c r="G2134" s="484"/>
      <c r="H2134" s="656" t="s">
        <v>43</v>
      </c>
      <c r="I2134" s="656"/>
      <c r="J2134" s="92">
        <v>0</v>
      </c>
      <c r="K2134" s="92"/>
      <c r="L2134" s="24"/>
      <c r="M2134" s="24"/>
      <c r="N2134" s="25"/>
      <c r="O2134" s="195"/>
    </row>
    <row r="2135" spans="1:15" ht="15.95" customHeight="1" x14ac:dyDescent="0.25">
      <c r="A2135" s="121"/>
      <c r="B2135" s="23"/>
      <c r="C2135" s="59" t="s">
        <v>10</v>
      </c>
      <c r="D2135" s="65">
        <v>43567</v>
      </c>
      <c r="E2135" s="36"/>
      <c r="F2135" s="483"/>
      <c r="G2135" s="484"/>
      <c r="H2135" s="657"/>
      <c r="I2135" s="657"/>
      <c r="J2135" s="392"/>
      <c r="K2135" s="24"/>
      <c r="L2135" s="33"/>
      <c r="M2135" s="33"/>
      <c r="N2135" s="25"/>
      <c r="O2135" s="195"/>
    </row>
    <row r="2136" spans="1:15" ht="15.95" customHeight="1" x14ac:dyDescent="0.25">
      <c r="A2136" s="121"/>
      <c r="B2136" s="23"/>
      <c r="C2136" s="59" t="s">
        <v>11</v>
      </c>
      <c r="D2136" s="65">
        <v>43572</v>
      </c>
      <c r="E2136" s="36"/>
      <c r="F2136" s="483"/>
      <c r="G2136" s="484"/>
      <c r="H2136" s="24"/>
      <c r="I2136" s="24"/>
      <c r="J2136" s="24"/>
      <c r="K2136" s="24"/>
      <c r="L2136" s="24"/>
      <c r="M2136" s="24"/>
      <c r="N2136" s="25"/>
      <c r="O2136" s="195"/>
    </row>
    <row r="2137" spans="1:15" ht="15.95" customHeight="1" x14ac:dyDescent="0.25">
      <c r="A2137" s="121"/>
      <c r="B2137" s="23"/>
      <c r="C2137" s="59" t="s">
        <v>12</v>
      </c>
      <c r="D2137" s="65">
        <v>44303</v>
      </c>
      <c r="E2137" s="36"/>
      <c r="F2137" s="483"/>
      <c r="G2137" s="484"/>
      <c r="H2137" s="638" t="s">
        <v>44</v>
      </c>
      <c r="I2137" s="639"/>
      <c r="J2137" s="639"/>
      <c r="K2137" s="639"/>
      <c r="L2137" s="639"/>
      <c r="M2137" s="640"/>
      <c r="N2137" s="25"/>
      <c r="O2137" s="195"/>
    </row>
    <row r="2138" spans="1:15" ht="15.95" customHeight="1" x14ac:dyDescent="0.25">
      <c r="A2138" s="121"/>
      <c r="B2138" s="23"/>
      <c r="C2138" s="59" t="s">
        <v>27</v>
      </c>
      <c r="D2138" s="66">
        <v>2000000</v>
      </c>
      <c r="E2138" s="41"/>
      <c r="F2138" s="480"/>
      <c r="G2138" s="484"/>
      <c r="H2138" s="23"/>
      <c r="I2138" s="24"/>
      <c r="J2138" s="24"/>
      <c r="K2138" s="24"/>
      <c r="L2138" s="24"/>
      <c r="M2138" s="25"/>
      <c r="N2138" s="25"/>
      <c r="O2138" s="195"/>
    </row>
    <row r="2139" spans="1:15" ht="15.95" customHeight="1" x14ac:dyDescent="0.25">
      <c r="A2139" s="121"/>
      <c r="B2139" s="23"/>
      <c r="C2139" s="59" t="s">
        <v>26</v>
      </c>
      <c r="D2139" s="66">
        <v>6</v>
      </c>
      <c r="E2139" s="36"/>
      <c r="F2139" s="480"/>
      <c r="G2139" s="484"/>
      <c r="H2139" s="23"/>
      <c r="I2139" s="24"/>
      <c r="J2139" s="24"/>
      <c r="K2139" s="24"/>
      <c r="L2139" s="24"/>
      <c r="M2139" s="25"/>
      <c r="N2139" s="25"/>
      <c r="O2139" s="195"/>
    </row>
    <row r="2140" spans="1:15" ht="15.95" customHeight="1" x14ac:dyDescent="0.25">
      <c r="A2140" s="121"/>
      <c r="B2140" s="23"/>
      <c r="C2140" s="59" t="s">
        <v>19</v>
      </c>
      <c r="D2140" s="67" t="s">
        <v>20</v>
      </c>
      <c r="E2140" s="43"/>
      <c r="F2140" s="480"/>
      <c r="G2140" s="484"/>
      <c r="H2140" s="96"/>
      <c r="I2140" s="35"/>
      <c r="J2140" s="24"/>
      <c r="K2140" s="24"/>
      <c r="L2140" s="24"/>
      <c r="M2140" s="25"/>
      <c r="N2140" s="25"/>
      <c r="O2140" s="195"/>
    </row>
    <row r="2141" spans="1:15" ht="15.95" customHeight="1" x14ac:dyDescent="0.25">
      <c r="A2141" s="121"/>
      <c r="B2141" s="23"/>
      <c r="C2141" s="59" t="s">
        <v>14</v>
      </c>
      <c r="D2141" s="68">
        <v>0.08</v>
      </c>
      <c r="E2141" s="43"/>
      <c r="F2141" s="480"/>
      <c r="G2141" s="484"/>
      <c r="H2141" s="23"/>
      <c r="I2141" s="24"/>
      <c r="J2141" s="24"/>
      <c r="K2141" s="24"/>
      <c r="L2141" s="24"/>
      <c r="M2141" s="25"/>
      <c r="N2141" s="25"/>
      <c r="O2141" s="195"/>
    </row>
    <row r="2142" spans="1:15" ht="20.100000000000001" customHeight="1" x14ac:dyDescent="0.25">
      <c r="A2142" s="121"/>
      <c r="B2142" s="23"/>
      <c r="C2142" s="59" t="s">
        <v>31</v>
      </c>
      <c r="D2142" s="68"/>
      <c r="E2142" s="43"/>
      <c r="F2142" s="480"/>
      <c r="G2142" s="484"/>
      <c r="H2142" s="23"/>
      <c r="I2142" s="24"/>
      <c r="J2142" s="24"/>
      <c r="K2142" s="24"/>
      <c r="L2142" s="24"/>
      <c r="M2142" s="25"/>
      <c r="N2142" s="25"/>
      <c r="O2142" s="195"/>
    </row>
    <row r="2143" spans="1:15" ht="15.95" customHeight="1" x14ac:dyDescent="0.25">
      <c r="A2143" s="121"/>
      <c r="B2143" s="23"/>
      <c r="C2143" s="59" t="s">
        <v>32</v>
      </c>
      <c r="D2143" s="68"/>
      <c r="E2143" s="44"/>
      <c r="F2143" s="480"/>
      <c r="G2143" s="484"/>
      <c r="H2143" s="23"/>
      <c r="I2143" s="24"/>
      <c r="J2143" s="24"/>
      <c r="K2143" s="24"/>
      <c r="L2143" s="24"/>
      <c r="M2143" s="25"/>
      <c r="N2143" s="25"/>
      <c r="O2143" s="195"/>
    </row>
    <row r="2144" spans="1:15" ht="15.95" customHeight="1" x14ac:dyDescent="0.25">
      <c r="A2144" s="121"/>
      <c r="B2144" s="23"/>
      <c r="C2144" s="59" t="s">
        <v>81</v>
      </c>
      <c r="D2144" s="68">
        <v>0.1</v>
      </c>
      <c r="E2144" s="24"/>
      <c r="F2144" s="480"/>
      <c r="G2144" s="484"/>
      <c r="H2144" s="23"/>
      <c r="I2144" s="24"/>
      <c r="J2144" s="24"/>
      <c r="K2144" s="24"/>
      <c r="L2144" s="24"/>
      <c r="M2144" s="25"/>
      <c r="N2144" s="25"/>
      <c r="O2144" s="195"/>
    </row>
    <row r="2145" spans="1:17" ht="15.95" customHeight="1" x14ac:dyDescent="0.25">
      <c r="A2145" s="121"/>
      <c r="B2145" s="23"/>
      <c r="C2145" s="59" t="s">
        <v>81</v>
      </c>
      <c r="D2145" s="68">
        <v>0.4</v>
      </c>
      <c r="E2145" s="24"/>
      <c r="F2145" s="480"/>
      <c r="G2145" s="484"/>
      <c r="H2145" s="23"/>
      <c r="I2145" s="24"/>
      <c r="J2145" s="24"/>
      <c r="K2145" s="24"/>
      <c r="L2145" s="24"/>
      <c r="M2145" s="25"/>
      <c r="N2145" s="25"/>
      <c r="O2145" s="194" t="str">
        <f>+D2298</f>
        <v>ON Pyme CNV Garantizada</v>
      </c>
    </row>
    <row r="2146" spans="1:17" ht="15.95" customHeight="1" x14ac:dyDescent="0.25">
      <c r="A2146" s="121"/>
      <c r="B2146" s="23"/>
      <c r="C2146" s="60"/>
      <c r="D2146" s="110"/>
      <c r="E2146" s="24"/>
      <c r="F2146" s="480"/>
      <c r="G2146" s="484"/>
      <c r="H2146" s="23"/>
      <c r="I2146" s="24"/>
      <c r="J2146" s="24"/>
      <c r="K2146" s="24"/>
      <c r="L2146" s="24"/>
      <c r="M2146" s="25"/>
      <c r="N2146" s="25"/>
      <c r="O2146" s="195"/>
    </row>
    <row r="2147" spans="1:17" ht="15.95" customHeight="1" x14ac:dyDescent="0.25">
      <c r="A2147" s="121"/>
      <c r="B2147" s="23"/>
      <c r="C2147" s="24"/>
      <c r="D2147" s="24"/>
      <c r="E2147" s="24"/>
      <c r="F2147" s="480"/>
      <c r="G2147" s="485"/>
      <c r="H2147" s="23"/>
      <c r="I2147" s="24"/>
      <c r="J2147" s="24"/>
      <c r="K2147" s="24"/>
      <c r="L2147" s="24"/>
      <c r="M2147" s="25"/>
      <c r="N2147" s="25"/>
      <c r="O2147" s="194" t="str">
        <f>+IF(J2296="vencida",IF(D2298='Reporte - Oscuro'!$C$40,'Reporte - Oscuro'!$C$40&amp;" vencida",IF(D2298='Reporte - Oscuro'!$C$41,'Reporte - Oscuro'!$C$41&amp;" vencida",IF(D2298='Reporte - Oscuro'!$C$42,'Reporte - Oscuro'!$C$42&amp;" vencida",'Reporte - Oscuro'!$C$43&amp;" vencida"))),D2298&amp;" vigente")</f>
        <v>ON Pyme CNV Garantizada vencida</v>
      </c>
    </row>
    <row r="2148" spans="1:17" ht="15.95" customHeight="1" x14ac:dyDescent="0.25">
      <c r="A2148" s="121"/>
      <c r="B2148" s="23"/>
      <c r="C2148" s="24"/>
      <c r="D2148" s="24"/>
      <c r="E2148" s="24"/>
      <c r="F2148" s="480"/>
      <c r="G2148" s="485"/>
      <c r="H2148" s="23"/>
      <c r="I2148" s="24"/>
      <c r="J2148" s="24"/>
      <c r="K2148" s="24"/>
      <c r="L2148" s="24"/>
      <c r="M2148" s="25"/>
      <c r="N2148" s="25"/>
      <c r="O2148" s="195"/>
    </row>
    <row r="2149" spans="1:17" ht="15.95" customHeight="1" x14ac:dyDescent="0.25">
      <c r="A2149" s="121"/>
      <c r="B2149" s="23"/>
      <c r="C2149" s="24"/>
      <c r="D2149" s="24"/>
      <c r="E2149" s="24"/>
      <c r="F2149" s="480"/>
      <c r="G2149" s="485"/>
      <c r="H2149" s="23"/>
      <c r="I2149" s="24"/>
      <c r="J2149" s="24"/>
      <c r="K2149" s="24"/>
      <c r="L2149" s="24"/>
      <c r="M2149" s="25"/>
      <c r="N2149" s="25"/>
      <c r="O2149" s="195"/>
    </row>
    <row r="2150" spans="1:17" ht="15.95" customHeight="1" x14ac:dyDescent="0.25">
      <c r="A2150" s="121"/>
      <c r="B2150" s="23"/>
      <c r="C2150" s="24"/>
      <c r="D2150" s="24"/>
      <c r="E2150" s="24"/>
      <c r="F2150" s="480"/>
      <c r="G2150" s="485"/>
      <c r="H2150" s="26"/>
      <c r="I2150" s="27"/>
      <c r="J2150" s="27"/>
      <c r="K2150" s="27"/>
      <c r="L2150" s="27"/>
      <c r="M2150" s="28"/>
      <c r="N2150" s="25"/>
      <c r="O2150" s="195"/>
    </row>
    <row r="2151" spans="1:17" ht="15.95" customHeight="1" x14ac:dyDescent="0.25">
      <c r="A2151" s="121"/>
      <c r="B2151" s="26"/>
      <c r="C2151" s="27"/>
      <c r="D2151" s="27"/>
      <c r="E2151" s="27"/>
      <c r="F2151" s="481"/>
      <c r="G2151" s="486"/>
      <c r="H2151" s="27"/>
      <c r="I2151" s="27"/>
      <c r="J2151" s="27"/>
      <c r="K2151" s="27"/>
      <c r="L2151" s="27"/>
      <c r="M2151" s="27"/>
      <c r="N2151" s="28"/>
      <c r="O2151" s="197">
        <f>+M2301</f>
        <v>-25000000</v>
      </c>
      <c r="P2151" s="197">
        <f>-M2301</f>
        <v>25000000</v>
      </c>
      <c r="Q2151" s="197"/>
    </row>
    <row r="2152" spans="1:17" ht="15.95" customHeight="1" x14ac:dyDescent="0.25">
      <c r="A2152" s="122" t="s">
        <v>134</v>
      </c>
      <c r="B2152" s="661" t="s">
        <v>183</v>
      </c>
      <c r="C2152" s="662"/>
      <c r="D2152" s="662"/>
      <c r="E2152" s="662"/>
      <c r="F2152" s="662"/>
      <c r="G2152" s="662"/>
      <c r="H2152" s="662"/>
      <c r="I2152" s="662"/>
      <c r="J2152" s="662"/>
      <c r="K2152" s="662"/>
      <c r="L2152" s="662"/>
      <c r="M2152" s="662"/>
      <c r="N2152" s="663"/>
      <c r="O2152" s="197" t="e">
        <f>+M2304+#REF!</f>
        <v>#REF!</v>
      </c>
      <c r="P2152" s="197">
        <f>+(M2304/(1+$J$2311)^((H2304-$H$2301)/365))/$P$2151</f>
        <v>0.28165833333333334</v>
      </c>
      <c r="Q2152" s="197">
        <f>+P2152*((H2304-$H$2301)/365)</f>
        <v>0.42287333333333338</v>
      </c>
    </row>
    <row r="2153" spans="1:17" ht="15.95" customHeight="1" x14ac:dyDescent="0.25">
      <c r="A2153" s="121"/>
      <c r="B2153" s="23"/>
      <c r="C2153" s="24"/>
      <c r="D2153" s="24"/>
      <c r="E2153" s="24"/>
      <c r="F2153" s="483"/>
      <c r="G2153" s="484"/>
      <c r="H2153" s="31"/>
      <c r="I2153" s="31"/>
      <c r="J2153" s="24"/>
      <c r="K2153" s="24"/>
      <c r="L2153" s="24"/>
      <c r="M2153" s="24"/>
      <c r="N2153" s="25"/>
      <c r="O2153" s="197" t="e">
        <f t="shared" ref="O2153:O2155" si="211">+M2305+O2152</f>
        <v>#REF!</v>
      </c>
      <c r="P2153" s="197">
        <f>+(M2305/(1+$J$2311)^((H2305-$H$2301)/365))/$P$2151</f>
        <v>0.25344583333333337</v>
      </c>
      <c r="Q2153" s="197">
        <f>+P2153*((H2305-$H$2301)/365)</f>
        <v>0.50758603881278552</v>
      </c>
    </row>
    <row r="2154" spans="1:17" ht="15.95" customHeight="1" x14ac:dyDescent="0.25">
      <c r="A2154" s="121"/>
      <c r="B2154" s="23"/>
      <c r="C2154" s="638" t="s">
        <v>37</v>
      </c>
      <c r="D2154" s="639"/>
      <c r="E2154" s="640"/>
      <c r="F2154" s="483"/>
      <c r="G2154" s="484"/>
      <c r="H2154" s="641" t="s">
        <v>28</v>
      </c>
      <c r="I2154" s="642"/>
      <c r="J2154" s="39">
        <f>+$D$2173-SUMIF($H$2160:$H$2165,"&lt;"&amp;$M$4,$K$2160:$K$2165)</f>
        <v>0</v>
      </c>
      <c r="K2154" s="24"/>
      <c r="L2154" s="24"/>
      <c r="M2154" s="24"/>
      <c r="N2154" s="25"/>
      <c r="O2154" s="197" t="e">
        <f t="shared" si="211"/>
        <v>#REF!</v>
      </c>
      <c r="P2154" s="197">
        <f>+(M2306/(1+$J$2311)^((H2306-$H$2301)/365))/$P$2151</f>
        <v>0.22605555555555557</v>
      </c>
      <c r="Q2154" s="197">
        <f>+P2154*((H2306-$H$2301)/365)</f>
        <v>0.56730654490106547</v>
      </c>
    </row>
    <row r="2155" spans="1:17" ht="15.95" customHeight="1" x14ac:dyDescent="0.25">
      <c r="A2155" s="121"/>
      <c r="B2155" s="23"/>
      <c r="C2155" s="58"/>
      <c r="D2155" s="664"/>
      <c r="E2155" s="665"/>
      <c r="F2155" s="483"/>
      <c r="G2155" s="484"/>
      <c r="H2155" s="645" t="s">
        <v>29</v>
      </c>
      <c r="I2155" s="646"/>
      <c r="J2155" s="40">
        <f>+$D$2172</f>
        <v>44049</v>
      </c>
      <c r="K2155" s="24"/>
      <c r="L2155" s="24"/>
      <c r="M2155" s="24"/>
      <c r="N2155" s="25"/>
      <c r="O2155" s="197" t="e">
        <f t="shared" si="211"/>
        <v>#REF!</v>
      </c>
      <c r="P2155" s="197">
        <f>+(M2307/(1+$J$2311)^((H2307-$H$2301)/365))/$P$2151</f>
        <v>0.29676388888888888</v>
      </c>
      <c r="Q2155" s="197">
        <f>+P2155*((H2307-$H$2301)/365)</f>
        <v>0.89273082191780817</v>
      </c>
    </row>
    <row r="2156" spans="1:17" ht="15.95" customHeight="1" x14ac:dyDescent="0.25">
      <c r="A2156" s="121"/>
      <c r="B2156" s="23"/>
      <c r="C2156" s="59" t="s">
        <v>25</v>
      </c>
      <c r="D2156" s="658"/>
      <c r="E2156" s="659"/>
      <c r="F2156" s="483"/>
      <c r="G2156" s="484"/>
      <c r="H2156" s="649" t="s">
        <v>30</v>
      </c>
      <c r="I2156" s="650"/>
      <c r="J2156" s="42" t="str">
        <f t="array" ref="J2156">+IF(H2165&gt;=M4,MIN(IF(H2160:H2166&gt;=$M$4,H2160:H2166,"")),"vencida")</f>
        <v>vencida</v>
      </c>
      <c r="K2156" s="24"/>
      <c r="L2156" s="24"/>
      <c r="M2156" s="24"/>
      <c r="N2156" s="25"/>
      <c r="O2156" s="195"/>
    </row>
    <row r="2157" spans="1:17" ht="15.95" customHeight="1" x14ac:dyDescent="0.25">
      <c r="A2157" s="121"/>
      <c r="B2157" s="23"/>
      <c r="C2157" s="59" t="s">
        <v>6</v>
      </c>
      <c r="D2157" s="658" t="s">
        <v>186</v>
      </c>
      <c r="E2157" s="659"/>
      <c r="F2157" s="483"/>
      <c r="G2157" s="484"/>
      <c r="H2157" s="24"/>
      <c r="I2157" s="24"/>
      <c r="J2157" s="24"/>
      <c r="K2157" s="24"/>
      <c r="L2157" s="24"/>
      <c r="M2157" s="24"/>
      <c r="N2157" s="25"/>
      <c r="O2157" s="195"/>
    </row>
    <row r="2158" spans="1:17" ht="15.95" customHeight="1" x14ac:dyDescent="0.25">
      <c r="A2158" s="121"/>
      <c r="B2158" s="23"/>
      <c r="C2158" s="59" t="s">
        <v>8</v>
      </c>
      <c r="D2158" s="658" t="s">
        <v>17</v>
      </c>
      <c r="E2158" s="659"/>
      <c r="F2158" s="483"/>
      <c r="G2158" s="484"/>
      <c r="H2158" s="651" t="s">
        <v>41</v>
      </c>
      <c r="I2158" s="652"/>
      <c r="J2158" s="652"/>
      <c r="K2158" s="652"/>
      <c r="L2158" s="653"/>
      <c r="M2158" s="24"/>
      <c r="N2158" s="25"/>
      <c r="O2158" s="195"/>
    </row>
    <row r="2159" spans="1:17" ht="15.95" customHeight="1" x14ac:dyDescent="0.25">
      <c r="A2159" s="121"/>
      <c r="B2159" s="23"/>
      <c r="C2159" s="59" t="s">
        <v>33</v>
      </c>
      <c r="D2159" s="73" t="s">
        <v>313</v>
      </c>
      <c r="E2159" s="273">
        <v>0.5</v>
      </c>
      <c r="F2159" s="483">
        <f>+E2159*$J$2154</f>
        <v>0</v>
      </c>
      <c r="G2159" s="484"/>
      <c r="H2159" s="81" t="s">
        <v>0</v>
      </c>
      <c r="I2159" s="82" t="s">
        <v>2</v>
      </c>
      <c r="J2159" s="82" t="s">
        <v>3</v>
      </c>
      <c r="K2159" s="82" t="s">
        <v>4</v>
      </c>
      <c r="L2159" s="83" t="s">
        <v>5</v>
      </c>
      <c r="M2159" s="82" t="s">
        <v>44</v>
      </c>
      <c r="N2159" s="25"/>
      <c r="O2159" s="195"/>
    </row>
    <row r="2160" spans="1:17" ht="15.95" customHeight="1" x14ac:dyDescent="0.25">
      <c r="A2160" s="121"/>
      <c r="B2160" s="23"/>
      <c r="C2160" s="278" t="s">
        <v>33</v>
      </c>
      <c r="D2160" s="73" t="s">
        <v>319</v>
      </c>
      <c r="E2160" s="273">
        <v>0.5</v>
      </c>
      <c r="F2160" s="483">
        <f>+E2160*$J$2154</f>
        <v>0</v>
      </c>
      <c r="G2160" s="484"/>
      <c r="H2160" s="45"/>
      <c r="I2160" s="46"/>
      <c r="J2160" s="46"/>
      <c r="K2160" s="46"/>
      <c r="L2160" s="47"/>
      <c r="M2160" s="23"/>
      <c r="N2160" s="25"/>
      <c r="O2160" s="195"/>
    </row>
    <row r="2161" spans="1:16" ht="15.95" customHeight="1" x14ac:dyDescent="0.25">
      <c r="A2161" s="121"/>
      <c r="B2161" s="23"/>
      <c r="C2161" s="59" t="s">
        <v>34</v>
      </c>
      <c r="D2161" s="658" t="s">
        <v>48</v>
      </c>
      <c r="E2161" s="659"/>
      <c r="F2161" s="483"/>
      <c r="G2161" s="484"/>
      <c r="H2161" s="48">
        <f>+$D$2171</f>
        <v>43318</v>
      </c>
      <c r="I2161" s="70"/>
      <c r="J2161" s="49"/>
      <c r="K2161" s="49"/>
      <c r="L2161" s="50">
        <f>+D2173</f>
        <v>10000000</v>
      </c>
      <c r="M2161" s="93">
        <f>-L2161</f>
        <v>-10000000</v>
      </c>
      <c r="N2161" s="25"/>
      <c r="O2161" s="195"/>
    </row>
    <row r="2162" spans="1:16" ht="15.95" customHeight="1" x14ac:dyDescent="0.25">
      <c r="A2162" s="121"/>
      <c r="B2162" s="23"/>
      <c r="C2162" s="79" t="s">
        <v>38</v>
      </c>
      <c r="D2162" s="75"/>
      <c r="E2162" s="76"/>
      <c r="F2162" s="483"/>
      <c r="G2162" s="484"/>
      <c r="H2162" s="51">
        <f>IF(DAY(H2161)=DAY($H$2161),IF(WEEKDAY(EDATE(H2161,$D$2174),3)&lt;5,EDATE(H2161,$D$2174),WORKDAY(EDATE(H2161,$D$2174),1)),IF(WEEKDAY(EDATE($H$2161,$D$2174*COUNT($H$2161:H2161)),3)&lt;5,EDATE($H$2161,$D$2174*COUNT($H$2161:H2161)),WORKDAY(EDATE($H$2161,$D$2174*COUNT($H$2161:H2161)),1)))</f>
        <v>43502</v>
      </c>
      <c r="I2162" s="71" t="s">
        <v>13</v>
      </c>
      <c r="J2162" s="52">
        <v>2496458.333333333</v>
      </c>
      <c r="K2162" s="52">
        <f>+IF(OR(I2162="A + C",I2162="A"),$D$2173*$D$2179,0)</f>
        <v>2500000</v>
      </c>
      <c r="L2162" s="53">
        <f>+L2161-K2162</f>
        <v>7500000</v>
      </c>
      <c r="M2162" s="94">
        <f>+J2162+K2162</f>
        <v>4996458.333333333</v>
      </c>
      <c r="N2162" s="25"/>
      <c r="O2162" s="195"/>
    </row>
    <row r="2163" spans="1:16" ht="15.95" customHeight="1" x14ac:dyDescent="0.25">
      <c r="A2163" s="121"/>
      <c r="B2163" s="23"/>
      <c r="C2163" s="59"/>
      <c r="D2163" s="73"/>
      <c r="E2163" s="74"/>
      <c r="F2163" s="483"/>
      <c r="G2163" s="484"/>
      <c r="H2163" s="51">
        <f>IF(DAY(H2162)=DAY($H$2161),IF(WEEKDAY(EDATE(H2162,$D$2174),3)&lt;5,EDATE(H2162,$D$2174),WORKDAY(EDATE(H2162,$D$2174),1)),IF(WEEKDAY(EDATE($H$2161,$D$2174*COUNT($H$2161:H2162)),3)&lt;5,EDATE($H$2161,$D$2174*COUNT($H$2161:H2162)),WORKDAY(EDATE($H$2161,$D$2174*COUNT($H$2161:H2162)),1)))</f>
        <v>43683</v>
      </c>
      <c r="I2163" s="71" t="s">
        <v>13</v>
      </c>
      <c r="J2163" s="52">
        <v>2109309.895833333</v>
      </c>
      <c r="K2163" s="52">
        <f>+IF(OR(I2163="A + C",I2163="A"),$D$2173*$D$2179,0)</f>
        <v>2500000</v>
      </c>
      <c r="L2163" s="53">
        <f>+L2162-K2163</f>
        <v>5000000</v>
      </c>
      <c r="M2163" s="94">
        <f>+J2163+K2163</f>
        <v>4609309.895833333</v>
      </c>
      <c r="N2163" s="25"/>
      <c r="O2163" s="195"/>
    </row>
    <row r="2164" spans="1:16" ht="15.95" customHeight="1" x14ac:dyDescent="0.25">
      <c r="A2164" s="121"/>
      <c r="B2164" s="23"/>
      <c r="C2164" s="60"/>
      <c r="D2164" s="77"/>
      <c r="E2164" s="78"/>
      <c r="F2164" s="483"/>
      <c r="G2164" s="484"/>
      <c r="H2164" s="51">
        <f>IF(DAY(H2163)=DAY($H$2161),IF(WEEKDAY(EDATE(H2163,$D$2174),3)&lt;5,EDATE(H2163,$D$2174),WORKDAY(EDATE(H2163,$D$2174),1)),IF(WEEKDAY(EDATE($H$2161,$D$2174*COUNT($H$2161:H2163)),3)&lt;5,EDATE($H$2161,$D$2174*COUNT($H$2161:H2163)),WORKDAY(EDATE($H$2161,$D$2174*COUNT($H$2161:H2163)),1)))</f>
        <v>43867</v>
      </c>
      <c r="I2164" s="71" t="s">
        <v>13</v>
      </c>
      <c r="J2164" s="52">
        <v>1301736.1111111112</v>
      </c>
      <c r="K2164" s="52">
        <f>+IF(OR(I2164="A + C",I2164="A"),$D$2173*$D$2179,0)</f>
        <v>2500000</v>
      </c>
      <c r="L2164" s="53">
        <f>+L2163-K2164</f>
        <v>2500000</v>
      </c>
      <c r="M2164" s="94">
        <f>+J2164+K2164</f>
        <v>3801736.111111111</v>
      </c>
      <c r="N2164" s="25"/>
      <c r="O2164" s="195"/>
      <c r="P2164" s="29"/>
    </row>
    <row r="2165" spans="1:16" ht="15.95" customHeight="1" x14ac:dyDescent="0.25">
      <c r="A2165" s="121"/>
      <c r="B2165" s="32"/>
      <c r="C2165" s="60"/>
      <c r="D2165" s="275" t="str">
        <f>+B2152</f>
        <v>Tradimex I</v>
      </c>
      <c r="E2165" s="276"/>
      <c r="F2165" s="483"/>
      <c r="G2165" s="484">
        <f>+J2154</f>
        <v>0</v>
      </c>
      <c r="H2165" s="51">
        <f>IF(DAY(H2164)=DAY($H$2161),IF(WEEKDAY(EDATE(H2164,$D$2174),3)&lt;5,EDATE(H2164,$D$2174),WORKDAY(EDATE(H2164,$D$2174),1)),IF(WEEKDAY(EDATE($H$2161,$D$2174*COUNT($H$2161:H2164)),3)&lt;5,EDATE($H$2161,$D$2174*COUNT($H$2161:H2164)),WORKDAY(EDATE($H$2161,$D$2174*COUNT($H$2161:H2164)),1)))</f>
        <v>44049</v>
      </c>
      <c r="I2165" s="71" t="s">
        <v>13</v>
      </c>
      <c r="J2165" s="52">
        <v>496866.31944444432</v>
      </c>
      <c r="K2165" s="52">
        <f>+IF(OR(I2165="A + C",I2165="A"),$D$2173*$D$2179,0)</f>
        <v>2500000</v>
      </c>
      <c r="L2165" s="53">
        <f>+L2164-K2165</f>
        <v>0</v>
      </c>
      <c r="M2165" s="94">
        <f>+J2165+K2165</f>
        <v>2996866.3194444445</v>
      </c>
      <c r="N2165" s="25"/>
      <c r="O2165" s="195"/>
      <c r="P2165" s="29"/>
    </row>
    <row r="2166" spans="1:16" ht="15.95" customHeight="1" x14ac:dyDescent="0.25">
      <c r="A2166" s="121"/>
      <c r="B2166" s="23"/>
      <c r="D2166" s="277"/>
      <c r="E2166" s="277"/>
      <c r="F2166" s="483"/>
      <c r="G2166" s="484"/>
      <c r="H2166" s="54"/>
      <c r="I2166" s="104"/>
      <c r="J2166" s="105"/>
      <c r="K2166" s="105"/>
      <c r="L2166" s="106"/>
      <c r="M2166" s="109"/>
      <c r="N2166" s="25"/>
      <c r="O2166" s="195"/>
      <c r="P2166" s="29"/>
    </row>
    <row r="2167" spans="1:16" ht="15.95" customHeight="1" x14ac:dyDescent="0.25">
      <c r="A2167" s="121"/>
      <c r="B2167" s="23"/>
      <c r="C2167" s="638" t="s">
        <v>36</v>
      </c>
      <c r="D2167" s="640"/>
      <c r="E2167" s="36"/>
      <c r="F2167" s="483"/>
      <c r="G2167" s="484"/>
      <c r="H2167" s="109"/>
      <c r="I2167" s="109"/>
      <c r="J2167" s="109"/>
      <c r="K2167" s="109"/>
      <c r="L2167" s="109"/>
      <c r="M2167" s="109"/>
      <c r="N2167" s="25"/>
      <c r="O2167" s="195"/>
    </row>
    <row r="2168" spans="1:16" ht="15.95" customHeight="1" x14ac:dyDescent="0.25">
      <c r="A2168" s="121"/>
      <c r="B2168" s="23"/>
      <c r="C2168" s="59"/>
      <c r="D2168" s="62"/>
      <c r="E2168" s="36"/>
      <c r="F2168" s="483"/>
      <c r="G2168" s="484"/>
      <c r="H2168" s="656" t="s">
        <v>43</v>
      </c>
      <c r="I2168" s="656"/>
      <c r="J2168" s="92">
        <v>0</v>
      </c>
      <c r="K2168" s="92"/>
      <c r="L2168" s="24"/>
      <c r="M2168" s="24"/>
      <c r="N2168" s="25"/>
      <c r="O2168" s="195"/>
      <c r="P2168" s="37"/>
    </row>
    <row r="2169" spans="1:16" ht="15.95" customHeight="1" x14ac:dyDescent="0.25">
      <c r="A2169" s="121"/>
      <c r="B2169" s="23"/>
      <c r="C2169" s="59" t="s">
        <v>9</v>
      </c>
      <c r="D2169" s="98" t="s">
        <v>18</v>
      </c>
      <c r="E2169" s="36"/>
      <c r="F2169" s="483"/>
      <c r="G2169" s="484"/>
      <c r="H2169" s="657"/>
      <c r="I2169" s="657"/>
      <c r="J2169" s="392"/>
      <c r="K2169" s="24"/>
      <c r="L2169" s="33"/>
      <c r="M2169" s="33"/>
      <c r="N2169" s="25"/>
      <c r="O2169" s="195"/>
    </row>
    <row r="2170" spans="1:16" ht="15.95" customHeight="1" x14ac:dyDescent="0.25">
      <c r="A2170" s="121"/>
      <c r="B2170" s="23"/>
      <c r="C2170" s="59" t="s">
        <v>10</v>
      </c>
      <c r="D2170" s="65">
        <v>43314</v>
      </c>
      <c r="E2170" s="36"/>
      <c r="F2170" s="483"/>
      <c r="G2170" s="484"/>
      <c r="H2170" s="24"/>
      <c r="I2170" s="24"/>
      <c r="J2170" s="24"/>
      <c r="K2170" s="24"/>
      <c r="L2170" s="24"/>
      <c r="M2170" s="24"/>
      <c r="N2170" s="25"/>
      <c r="O2170" s="195"/>
    </row>
    <row r="2171" spans="1:16" ht="15.95" customHeight="1" x14ac:dyDescent="0.25">
      <c r="A2171" s="121"/>
      <c r="B2171" s="23"/>
      <c r="C2171" s="59" t="s">
        <v>11</v>
      </c>
      <c r="D2171" s="65">
        <v>43318</v>
      </c>
      <c r="E2171" s="36"/>
      <c r="F2171" s="483"/>
      <c r="G2171" s="484"/>
      <c r="H2171" s="638" t="s">
        <v>44</v>
      </c>
      <c r="I2171" s="639"/>
      <c r="J2171" s="639"/>
      <c r="K2171" s="639"/>
      <c r="L2171" s="639"/>
      <c r="M2171" s="640"/>
      <c r="N2171" s="25"/>
      <c r="O2171" s="195"/>
    </row>
    <row r="2172" spans="1:16" ht="15.95" customHeight="1" x14ac:dyDescent="0.25">
      <c r="A2172" s="121"/>
      <c r="B2172" s="23"/>
      <c r="C2172" s="59" t="s">
        <v>12</v>
      </c>
      <c r="D2172" s="65">
        <v>44049</v>
      </c>
      <c r="E2172" s="36"/>
      <c r="F2172" s="480"/>
      <c r="G2172" s="484"/>
      <c r="H2172" s="23"/>
      <c r="I2172" s="24"/>
      <c r="J2172" s="24"/>
      <c r="K2172" s="24"/>
      <c r="L2172" s="24"/>
      <c r="M2172" s="25"/>
      <c r="N2172" s="25"/>
      <c r="O2172" s="195"/>
    </row>
    <row r="2173" spans="1:16" ht="15.95" customHeight="1" x14ac:dyDescent="0.25">
      <c r="A2173" s="121"/>
      <c r="B2173" s="23"/>
      <c r="C2173" s="59" t="s">
        <v>27</v>
      </c>
      <c r="D2173" s="66">
        <v>10000000</v>
      </c>
      <c r="E2173" s="41"/>
      <c r="F2173" s="480"/>
      <c r="G2173" s="484"/>
      <c r="H2173" s="23"/>
      <c r="I2173" s="24"/>
      <c r="J2173" s="24"/>
      <c r="K2173" s="24"/>
      <c r="L2173" s="24"/>
      <c r="M2173" s="25"/>
      <c r="N2173" s="25"/>
      <c r="O2173" s="195"/>
    </row>
    <row r="2174" spans="1:16" ht="15.95" customHeight="1" x14ac:dyDescent="0.25">
      <c r="A2174" s="121"/>
      <c r="B2174" s="23"/>
      <c r="C2174" s="59" t="s">
        <v>26</v>
      </c>
      <c r="D2174" s="66">
        <v>6</v>
      </c>
      <c r="E2174" s="36"/>
      <c r="F2174" s="480"/>
      <c r="G2174" s="484"/>
      <c r="H2174" s="96"/>
      <c r="I2174" s="35"/>
      <c r="J2174" s="24"/>
      <c r="K2174" s="24"/>
      <c r="L2174" s="24"/>
      <c r="M2174" s="25"/>
      <c r="N2174" s="25"/>
    </row>
    <row r="2175" spans="1:16" ht="15.95" customHeight="1" x14ac:dyDescent="0.25">
      <c r="A2175" s="121"/>
      <c r="B2175" s="23"/>
      <c r="C2175" s="59" t="s">
        <v>19</v>
      </c>
      <c r="D2175" s="67" t="s">
        <v>20</v>
      </c>
      <c r="E2175" s="43"/>
      <c r="F2175" s="480"/>
      <c r="G2175" s="484"/>
      <c r="H2175" s="23"/>
      <c r="I2175" s="24"/>
      <c r="J2175" s="24"/>
      <c r="K2175" s="24"/>
      <c r="L2175" s="24"/>
      <c r="M2175" s="25"/>
      <c r="N2175" s="25"/>
    </row>
    <row r="2176" spans="1:16" ht="20.100000000000001" customHeight="1" x14ac:dyDescent="0.25">
      <c r="A2176" s="121"/>
      <c r="B2176" s="23"/>
      <c r="C2176" s="59" t="s">
        <v>14</v>
      </c>
      <c r="D2176" s="68">
        <v>0.09</v>
      </c>
      <c r="E2176" s="43"/>
      <c r="F2176" s="480"/>
      <c r="G2176" s="484"/>
      <c r="H2176" s="23"/>
      <c r="I2176" s="24"/>
      <c r="J2176" s="24"/>
      <c r="K2176" s="24"/>
      <c r="L2176" s="24"/>
      <c r="M2176" s="25"/>
      <c r="N2176" s="25"/>
      <c r="O2176" s="195"/>
    </row>
    <row r="2177" spans="1:17" ht="15.95" customHeight="1" x14ac:dyDescent="0.25">
      <c r="A2177" s="121"/>
      <c r="B2177" s="23"/>
      <c r="C2177" s="59" t="s">
        <v>31</v>
      </c>
      <c r="D2177" s="68"/>
      <c r="E2177" s="43"/>
      <c r="F2177" s="480"/>
      <c r="G2177" s="484"/>
      <c r="H2177" s="23"/>
      <c r="I2177" s="24"/>
      <c r="J2177" s="24"/>
      <c r="K2177" s="24"/>
      <c r="L2177" s="24"/>
      <c r="M2177" s="25"/>
      <c r="N2177" s="25"/>
      <c r="O2177" s="195"/>
    </row>
    <row r="2178" spans="1:17" ht="15.95" customHeight="1" x14ac:dyDescent="0.25">
      <c r="A2178" s="121"/>
      <c r="B2178" s="23"/>
      <c r="C2178" s="59" t="s">
        <v>32</v>
      </c>
      <c r="D2178" s="68"/>
      <c r="E2178" s="44"/>
      <c r="F2178" s="480"/>
      <c r="G2178" s="484"/>
      <c r="H2178" s="23"/>
      <c r="I2178" s="24"/>
      <c r="J2178" s="24"/>
      <c r="K2178" s="24"/>
      <c r="L2178" s="24"/>
      <c r="M2178" s="25"/>
      <c r="N2178" s="25"/>
      <c r="O2178" s="195"/>
    </row>
    <row r="2179" spans="1:17" ht="15.95" customHeight="1" x14ac:dyDescent="0.25">
      <c r="A2179" s="121"/>
      <c r="B2179" s="23"/>
      <c r="C2179" s="59" t="s">
        <v>64</v>
      </c>
      <c r="D2179" s="68">
        <v>0.25</v>
      </c>
      <c r="E2179" s="24"/>
      <c r="F2179" s="480"/>
      <c r="G2179" s="484"/>
      <c r="H2179" s="23"/>
      <c r="I2179" s="24"/>
      <c r="J2179" s="24"/>
      <c r="K2179" s="24"/>
      <c r="L2179" s="24"/>
      <c r="M2179" s="25"/>
      <c r="N2179" s="25"/>
      <c r="O2179" s="194" t="str">
        <f>+D2334</f>
        <v>ON Pyme CNV Garantizada</v>
      </c>
    </row>
    <row r="2180" spans="1:17" ht="15.95" customHeight="1" x14ac:dyDescent="0.25">
      <c r="A2180" s="121"/>
      <c r="B2180" s="23"/>
      <c r="C2180" s="60"/>
      <c r="D2180" s="110"/>
      <c r="E2180" s="24"/>
      <c r="F2180" s="480"/>
      <c r="G2180" s="484"/>
      <c r="H2180" s="23"/>
      <c r="I2180" s="24"/>
      <c r="J2180" s="24"/>
      <c r="K2180" s="24"/>
      <c r="L2180" s="24"/>
      <c r="M2180" s="25"/>
      <c r="N2180" s="25"/>
      <c r="O2180" s="195"/>
    </row>
    <row r="2181" spans="1:17" ht="15.95" customHeight="1" x14ac:dyDescent="0.25">
      <c r="A2181" s="121"/>
      <c r="B2181" s="23"/>
      <c r="C2181" s="24"/>
      <c r="D2181" s="24"/>
      <c r="E2181" s="24"/>
      <c r="F2181" s="480"/>
      <c r="G2181" s="485"/>
      <c r="H2181" s="23"/>
      <c r="I2181" s="24"/>
      <c r="J2181" s="24"/>
      <c r="K2181" s="24"/>
      <c r="L2181" s="24"/>
      <c r="M2181" s="25"/>
      <c r="N2181" s="25"/>
      <c r="O2181" s="194" t="str">
        <f>+IF(J2332="vencida",IF(D2334='Reporte - Oscuro'!$C$40,'Reporte - Oscuro'!$C$40&amp;" vencida",IF(D2334='Reporte - Oscuro'!$C$41,'Reporte - Oscuro'!$C$41&amp;" vencida",IF(D2334='Reporte - Oscuro'!$C$42,'Reporte - Oscuro'!$C$42&amp;" vencida",'Reporte - Oscuro'!$C$43&amp;" vencida"))),D2334&amp;" vigente")</f>
        <v>ON Pyme CNV Garantizada vigente</v>
      </c>
    </row>
    <row r="2182" spans="1:17" ht="15.95" customHeight="1" x14ac:dyDescent="0.25">
      <c r="A2182" s="121"/>
      <c r="B2182" s="23"/>
      <c r="C2182" s="24"/>
      <c r="D2182" s="24"/>
      <c r="E2182" s="24"/>
      <c r="F2182" s="480"/>
      <c r="G2182" s="485"/>
      <c r="H2182" s="23"/>
      <c r="I2182" s="24"/>
      <c r="J2182" s="24"/>
      <c r="K2182" s="24"/>
      <c r="L2182" s="24"/>
      <c r="M2182" s="25"/>
      <c r="N2182" s="25"/>
      <c r="O2182" s="195"/>
    </row>
    <row r="2183" spans="1:17" ht="15.95" customHeight="1" x14ac:dyDescent="0.25">
      <c r="A2183" s="121"/>
      <c r="B2183" s="23"/>
      <c r="C2183" s="24"/>
      <c r="D2183" s="24"/>
      <c r="E2183" s="24"/>
      <c r="F2183" s="480"/>
      <c r="G2183" s="485"/>
      <c r="H2183" s="23"/>
      <c r="I2183" s="24"/>
      <c r="J2183" s="24"/>
      <c r="K2183" s="24"/>
      <c r="L2183" s="24"/>
      <c r="M2183" s="25"/>
      <c r="N2183" s="25"/>
      <c r="O2183" s="195"/>
    </row>
    <row r="2184" spans="1:17" ht="15.95" customHeight="1" x14ac:dyDescent="0.25">
      <c r="A2184" s="121"/>
      <c r="B2184" s="23"/>
      <c r="C2184" s="24"/>
      <c r="D2184" s="24"/>
      <c r="E2184" s="24"/>
      <c r="F2184" s="480"/>
      <c r="G2184" s="485"/>
      <c r="H2184" s="26"/>
      <c r="I2184" s="27"/>
      <c r="J2184" s="27"/>
      <c r="K2184" s="27"/>
      <c r="L2184" s="27"/>
      <c r="M2184" s="28"/>
      <c r="N2184" s="25"/>
      <c r="O2184" s="195"/>
    </row>
    <row r="2185" spans="1:17" ht="15.95" customHeight="1" x14ac:dyDescent="0.25">
      <c r="A2185" s="121"/>
      <c r="B2185" s="26"/>
      <c r="C2185" s="27"/>
      <c r="D2185" s="27"/>
      <c r="E2185" s="27"/>
      <c r="F2185" s="481"/>
      <c r="G2185" s="486"/>
      <c r="H2185" s="27"/>
      <c r="I2185" s="27"/>
      <c r="J2185" s="27"/>
      <c r="K2185" s="27"/>
      <c r="L2185" s="27"/>
      <c r="M2185" s="27"/>
      <c r="N2185" s="28"/>
      <c r="O2185" s="197">
        <f>+M2337</f>
        <v>-65000000</v>
      </c>
      <c r="P2185" s="197">
        <f>-M2337</f>
        <v>65000000</v>
      </c>
      <c r="Q2185" s="197"/>
    </row>
    <row r="2186" spans="1:17" ht="15.95" customHeight="1" x14ac:dyDescent="0.25">
      <c r="A2186" s="121"/>
      <c r="B2186" s="635" t="s">
        <v>184</v>
      </c>
      <c r="C2186" s="636"/>
      <c r="D2186" s="636"/>
      <c r="E2186" s="636"/>
      <c r="F2186" s="636"/>
      <c r="G2186" s="636"/>
      <c r="H2186" s="636"/>
      <c r="I2186" s="636"/>
      <c r="J2186" s="636"/>
      <c r="K2186" s="636"/>
      <c r="L2186" s="636"/>
      <c r="M2186" s="636"/>
      <c r="N2186" s="637"/>
      <c r="O2186" s="197">
        <f t="shared" ref="O2186:O2191" si="212">+M2338+O2185</f>
        <v>-34634223.090277776</v>
      </c>
      <c r="P2186" s="197">
        <f t="shared" ref="P2186:P2191" si="213">+(M2338/(1+$J$2311)^((H2338-$H$2301)/365))/$P$2151</f>
        <v>1.2146310763888888</v>
      </c>
      <c r="Q2186" s="197">
        <f t="shared" ref="Q2186:Q2191" si="214">+P2186*((H2338-$H$2301)/365)</f>
        <v>5.3077714160007607</v>
      </c>
    </row>
    <row r="2187" spans="1:17" ht="15.95" customHeight="1" x14ac:dyDescent="0.25">
      <c r="A2187" s="121"/>
      <c r="B2187" s="23"/>
      <c r="C2187" s="24"/>
      <c r="D2187" s="24"/>
      <c r="E2187" s="24"/>
      <c r="F2187" s="483"/>
      <c r="G2187" s="484"/>
      <c r="H2187" s="31"/>
      <c r="I2187" s="31"/>
      <c r="J2187" s="24"/>
      <c r="K2187" s="24"/>
      <c r="L2187" s="24"/>
      <c r="M2187" s="24"/>
      <c r="N2187" s="25"/>
      <c r="O2187" s="197">
        <f t="shared" si="212"/>
        <v>-3629759.1145833321</v>
      </c>
      <c r="P2187" s="197">
        <f t="shared" si="213"/>
        <v>1.2401785590277778</v>
      </c>
      <c r="Q2187" s="197">
        <f t="shared" si="214"/>
        <v>6.037800820253044</v>
      </c>
    </row>
    <row r="2188" spans="1:17" ht="15.95" customHeight="1" x14ac:dyDescent="0.25">
      <c r="A2188" s="121"/>
      <c r="B2188" s="23"/>
      <c r="C2188" s="638" t="s">
        <v>37</v>
      </c>
      <c r="D2188" s="639"/>
      <c r="E2188" s="640"/>
      <c r="F2188" s="483"/>
      <c r="G2188" s="484"/>
      <c r="H2188" s="641" t="s">
        <v>28</v>
      </c>
      <c r="I2188" s="642"/>
      <c r="J2188" s="39">
        <f>+$D$2207-SUMIF($H$2194:$H$2199,"&lt;"&amp;$M$4,$K$2194:$K$2199)</f>
        <v>0</v>
      </c>
      <c r="K2188" s="24"/>
      <c r="L2188" s="24"/>
      <c r="M2188" s="24"/>
      <c r="N2188" s="25"/>
      <c r="O2188" s="197">
        <f t="shared" si="212"/>
        <v>28871425.78125</v>
      </c>
      <c r="P2188" s="197">
        <f t="shared" si="213"/>
        <v>1.3000473958333332</v>
      </c>
      <c r="Q2188" s="197">
        <f t="shared" si="214"/>
        <v>6.977514653253424</v>
      </c>
    </row>
    <row r="2189" spans="1:17" ht="15.95" customHeight="1" x14ac:dyDescent="0.25">
      <c r="A2189" s="121"/>
      <c r="B2189" s="23"/>
      <c r="C2189" s="58"/>
      <c r="D2189" s="664"/>
      <c r="E2189" s="665"/>
      <c r="F2189" s="483"/>
      <c r="G2189" s="484"/>
      <c r="H2189" s="645" t="s">
        <v>29</v>
      </c>
      <c r="I2189" s="646"/>
      <c r="J2189" s="40">
        <f>+$D$2206</f>
        <v>44168</v>
      </c>
      <c r="K2189" s="24"/>
      <c r="L2189" s="24"/>
      <c r="M2189" s="24"/>
      <c r="N2189" s="25"/>
      <c r="O2189" s="197">
        <f t="shared" si="212"/>
        <v>56356156.684027776</v>
      </c>
      <c r="P2189" s="197">
        <f t="shared" si="213"/>
        <v>1.0993892361111111</v>
      </c>
      <c r="Q2189" s="197">
        <f t="shared" si="214"/>
        <v>6.4487461767503804</v>
      </c>
    </row>
    <row r="2190" spans="1:17" ht="15.95" customHeight="1" x14ac:dyDescent="0.25">
      <c r="A2190" s="121"/>
      <c r="B2190" s="23"/>
      <c r="C2190" s="59" t="s">
        <v>25</v>
      </c>
      <c r="D2190" s="658"/>
      <c r="E2190" s="659"/>
      <c r="F2190" s="483"/>
      <c r="G2190" s="484"/>
      <c r="H2190" s="649" t="s">
        <v>30</v>
      </c>
      <c r="I2190" s="650"/>
      <c r="J2190" s="42" t="str">
        <f t="array" ref="J2190">+IF(H2199&gt;=M4,MIN(IF(H2194:H2200&gt;=$M$4,H2194:H2200,"")),"vencida")</f>
        <v>vencida</v>
      </c>
      <c r="K2190" s="24"/>
      <c r="L2190" s="24"/>
      <c r="M2190" s="24"/>
      <c r="N2190" s="25"/>
      <c r="O2190" s="197">
        <f t="shared" si="212"/>
        <v>74176583.767361104</v>
      </c>
      <c r="P2190" s="197">
        <f t="shared" si="213"/>
        <v>0.71281708333333327</v>
      </c>
      <c r="Q2190" s="197">
        <f t="shared" si="214"/>
        <v>4.5385942511415518</v>
      </c>
    </row>
    <row r="2191" spans="1:17" ht="15.95" customHeight="1" x14ac:dyDescent="0.25">
      <c r="A2191" s="121"/>
      <c r="B2191" s="23"/>
      <c r="C2191" s="59" t="s">
        <v>6</v>
      </c>
      <c r="D2191" s="658" t="s">
        <v>186</v>
      </c>
      <c r="E2191" s="659"/>
      <c r="F2191" s="483"/>
      <c r="G2191" s="484"/>
      <c r="H2191" s="24"/>
      <c r="I2191" s="24"/>
      <c r="J2191" s="24"/>
      <c r="K2191" s="24"/>
      <c r="L2191" s="24"/>
      <c r="M2191" s="24"/>
      <c r="N2191" s="25"/>
      <c r="O2191" s="197">
        <f t="shared" si="212"/>
        <v>93812818.576388881</v>
      </c>
      <c r="P2191" s="197">
        <f t="shared" si="213"/>
        <v>0.785449392361111</v>
      </c>
      <c r="Q2191" s="197">
        <f t="shared" si="214"/>
        <v>5.3927018554984771</v>
      </c>
    </row>
    <row r="2192" spans="1:17" ht="15.95" customHeight="1" x14ac:dyDescent="0.25">
      <c r="A2192" s="121"/>
      <c r="B2192" s="23"/>
      <c r="C2192" s="59" t="s">
        <v>8</v>
      </c>
      <c r="D2192" s="658" t="s">
        <v>17</v>
      </c>
      <c r="E2192" s="659"/>
      <c r="F2192" s="483"/>
      <c r="G2192" s="484"/>
      <c r="H2192" s="651" t="s">
        <v>41</v>
      </c>
      <c r="I2192" s="652"/>
      <c r="J2192" s="652"/>
      <c r="K2192" s="652"/>
      <c r="L2192" s="653"/>
      <c r="M2192" s="24"/>
      <c r="N2192" s="25"/>
      <c r="O2192" s="195"/>
    </row>
    <row r="2193" spans="1:16" ht="15.95" customHeight="1" x14ac:dyDescent="0.25">
      <c r="A2193" s="121"/>
      <c r="B2193" s="23"/>
      <c r="C2193" s="59" t="s">
        <v>33</v>
      </c>
      <c r="D2193" s="73" t="s">
        <v>313</v>
      </c>
      <c r="E2193" s="273">
        <v>0.5</v>
      </c>
      <c r="F2193" s="483">
        <f>+E2193*J$2188</f>
        <v>0</v>
      </c>
      <c r="G2193" s="484"/>
      <c r="H2193" s="81" t="s">
        <v>0</v>
      </c>
      <c r="I2193" s="82" t="s">
        <v>2</v>
      </c>
      <c r="J2193" s="82" t="s">
        <v>3</v>
      </c>
      <c r="K2193" s="82" t="s">
        <v>4</v>
      </c>
      <c r="L2193" s="83" t="s">
        <v>5</v>
      </c>
      <c r="M2193" s="82" t="s">
        <v>44</v>
      </c>
      <c r="N2193" s="25"/>
      <c r="O2193" s="195"/>
    </row>
    <row r="2194" spans="1:16" ht="15.95" customHeight="1" x14ac:dyDescent="0.25">
      <c r="A2194" s="121"/>
      <c r="B2194" s="23"/>
      <c r="C2194" s="278" t="s">
        <v>33</v>
      </c>
      <c r="D2194" s="73" t="s">
        <v>319</v>
      </c>
      <c r="E2194" s="273">
        <v>0.5</v>
      </c>
      <c r="F2194" s="483">
        <f>+E2194*J$2188</f>
        <v>0</v>
      </c>
      <c r="G2194" s="484"/>
      <c r="H2194" s="45"/>
      <c r="I2194" s="46"/>
      <c r="J2194" s="46"/>
      <c r="K2194" s="46"/>
      <c r="L2194" s="47"/>
      <c r="M2194" s="23"/>
      <c r="N2194" s="25"/>
      <c r="O2194" s="195"/>
    </row>
    <row r="2195" spans="1:16" ht="15.95" customHeight="1" x14ac:dyDescent="0.25">
      <c r="A2195" s="121"/>
      <c r="B2195" s="23"/>
      <c r="C2195" s="59" t="s">
        <v>34</v>
      </c>
      <c r="D2195" s="658" t="s">
        <v>35</v>
      </c>
      <c r="E2195" s="659"/>
      <c r="F2195" s="483"/>
      <c r="G2195" s="484"/>
      <c r="H2195" s="48">
        <f>+$D$2205</f>
        <v>43437</v>
      </c>
      <c r="I2195" s="70"/>
      <c r="J2195" s="49"/>
      <c r="K2195" s="49"/>
      <c r="L2195" s="50">
        <f>+D2207</f>
        <v>10000000</v>
      </c>
      <c r="M2195" s="93">
        <f>-L2195</f>
        <v>-10000000</v>
      </c>
      <c r="N2195" s="25"/>
      <c r="O2195" s="195"/>
    </row>
    <row r="2196" spans="1:16" ht="15.95" customHeight="1" x14ac:dyDescent="0.25">
      <c r="A2196" s="121"/>
      <c r="B2196" s="23"/>
      <c r="C2196" s="79" t="s">
        <v>38</v>
      </c>
      <c r="D2196" s="75"/>
      <c r="E2196" s="76"/>
      <c r="F2196" s="483"/>
      <c r="G2196" s="484"/>
      <c r="H2196" s="51">
        <f>IF(DAY(H2195)=DAY($H$2195),IF(WEEKDAY(EDATE(H2195,$D$2208),3)&lt;5,EDATE(H2195,$D$2208),WORKDAY(EDATE(H2195,$D$2208),1)),IF(WEEKDAY(EDATE($H$2195,$D$2208*COUNT($H$2195:H2195)),3)&lt;5,EDATE($H$2195,$D$2208*COUNT($H$2195:H2195)),WORKDAY(EDATE($H$2195,$D$2208*COUNT($H$2195:H2195)),1)))</f>
        <v>43619</v>
      </c>
      <c r="I2196" s="71" t="s">
        <v>13</v>
      </c>
      <c r="J2196" s="52">
        <v>3054440.277777778</v>
      </c>
      <c r="K2196" s="52">
        <f>+IF(OR(I2196="A + C",I2196="A"),$D$2207*$D$2213,0)</f>
        <v>2500000</v>
      </c>
      <c r="L2196" s="53">
        <f>+L2195-K2196</f>
        <v>7500000</v>
      </c>
      <c r="M2196" s="94">
        <f>+J2196+K2196</f>
        <v>5554440.277777778</v>
      </c>
      <c r="N2196" s="25"/>
      <c r="O2196" s="195"/>
    </row>
    <row r="2197" spans="1:16" ht="15.95" customHeight="1" x14ac:dyDescent="0.25">
      <c r="A2197" s="121"/>
      <c r="B2197" s="23"/>
      <c r="C2197" s="59"/>
      <c r="D2197" s="73"/>
      <c r="E2197" s="74"/>
      <c r="F2197" s="483"/>
      <c r="G2197" s="484"/>
      <c r="H2197" s="51">
        <f>IF(DAY(H2196)=DAY($H$2195),IF(WEEKDAY(EDATE(H2196,$D$2208),3)&lt;5,EDATE(H2196,$D$2208),WORKDAY(EDATE(H2196,$D$2208),1)),IF(WEEKDAY(EDATE($H$2195,$D$2208*COUNT($H$2195:H2196)),3)&lt;5,EDATE($H$2195,$D$2208*COUNT($H$2195:H2196)),WORKDAY(EDATE($H$2195,$D$2208*COUNT($H$2195:H2196)),1)))</f>
        <v>43802</v>
      </c>
      <c r="I2197" s="71" t="s">
        <v>13</v>
      </c>
      <c r="J2197" s="52">
        <v>2200956.25</v>
      </c>
      <c r="K2197" s="52">
        <f>+IF(OR(I2197="A + C",I2197="A"),$D$2207*$D$2213,0)</f>
        <v>2500000</v>
      </c>
      <c r="L2197" s="53">
        <f>+L2196-K2197</f>
        <v>5000000</v>
      </c>
      <c r="M2197" s="94">
        <f>+J2197+K2197</f>
        <v>4700956.25</v>
      </c>
      <c r="N2197" s="25"/>
      <c r="O2197" s="195"/>
    </row>
    <row r="2198" spans="1:16" ht="15.95" customHeight="1" x14ac:dyDescent="0.25">
      <c r="A2198" s="121"/>
      <c r="B2198" s="23"/>
      <c r="C2198" s="60"/>
      <c r="D2198" s="77"/>
      <c r="E2198" s="78"/>
      <c r="F2198" s="483"/>
      <c r="G2198" s="484"/>
      <c r="H2198" s="51">
        <f>IF(DAY(H2197)=DAY($H$2195),IF(WEEKDAY(EDATE(H2197,$D$2208),3)&lt;5,EDATE(H2197,$D$2208),WORKDAY(EDATE(H2197,$D$2208),1)),IF(WEEKDAY(EDATE($H$2195,$D$2208*COUNT($H$2195:H2197)),3)&lt;5,EDATE($H$2195,$D$2208*COUNT($H$2195:H2197)),WORKDAY(EDATE($H$2195,$D$2208*COUNT($H$2195:H2197)),1)))</f>
        <v>43985</v>
      </c>
      <c r="I2198" s="71" t="s">
        <v>13</v>
      </c>
      <c r="J2198" s="52">
        <v>1120207.8125</v>
      </c>
      <c r="K2198" s="52">
        <f>+IF(OR(I2198="A + C",I2198="A"),$D$2207*$D$2213,0)</f>
        <v>2500000</v>
      </c>
      <c r="L2198" s="53">
        <f>+L2197-K2198</f>
        <v>2500000</v>
      </c>
      <c r="M2198" s="94">
        <f>+J2198+K2198</f>
        <v>3620207.8125</v>
      </c>
      <c r="N2198" s="25"/>
      <c r="O2198" s="195"/>
    </row>
    <row r="2199" spans="1:16" ht="15.95" customHeight="1" x14ac:dyDescent="0.25">
      <c r="A2199" s="121"/>
      <c r="B2199" s="32"/>
      <c r="C2199" s="60"/>
      <c r="D2199" s="275" t="str">
        <f>+B2186</f>
        <v>Tradimex II</v>
      </c>
      <c r="E2199" s="276"/>
      <c r="F2199" s="483"/>
      <c r="G2199" s="484">
        <f>+J2188</f>
        <v>0</v>
      </c>
      <c r="H2199" s="51">
        <f>IF(DAY(H2198)=DAY($H$2195),IF(WEEKDAY(EDATE(H2198,$D$2208),3)&lt;5,EDATE(H2198,$D$2208),WORKDAY(EDATE(H2198,$D$2208),1)),IF(WEEKDAY(EDATE($H$2195,$D$2208*COUNT($H$2195:H2198)),3)&lt;5,EDATE($H$2195,$D$2208*COUNT($H$2195:H2198)),WORKDAY(EDATE($H$2195,$D$2208*COUNT($H$2195:H2198)),1)))</f>
        <v>44168</v>
      </c>
      <c r="I2199" s="71" t="s">
        <v>13</v>
      </c>
      <c r="J2199" s="52">
        <v>439771.87499999994</v>
      </c>
      <c r="K2199" s="52">
        <f>+IF(OR(I2199="A + C",I2199="A"),$D$2207*$D$2213,0)</f>
        <v>2500000</v>
      </c>
      <c r="L2199" s="53">
        <f>+L2198-K2199</f>
        <v>0</v>
      </c>
      <c r="M2199" s="94">
        <f>+J2199+K2199</f>
        <v>2939771.875</v>
      </c>
      <c r="N2199" s="25"/>
      <c r="O2199" s="195"/>
    </row>
    <row r="2200" spans="1:16" ht="15.95" customHeight="1" x14ac:dyDescent="0.25">
      <c r="A2200" s="121"/>
      <c r="B2200" s="23"/>
      <c r="D2200" s="277"/>
      <c r="E2200" s="277"/>
      <c r="F2200" s="483"/>
      <c r="G2200" s="484"/>
      <c r="H2200" s="54"/>
      <c r="I2200" s="104"/>
      <c r="J2200" s="105"/>
      <c r="K2200" s="105"/>
      <c r="L2200" s="106"/>
      <c r="M2200" s="109"/>
      <c r="N2200" s="25"/>
      <c r="O2200" s="195"/>
      <c r="P2200" s="29"/>
    </row>
    <row r="2201" spans="1:16" ht="15.95" customHeight="1" x14ac:dyDescent="0.25">
      <c r="A2201" s="121"/>
      <c r="B2201" s="23"/>
      <c r="C2201" s="638" t="s">
        <v>36</v>
      </c>
      <c r="D2201" s="640"/>
      <c r="E2201" s="36"/>
      <c r="F2201" s="483"/>
      <c r="G2201" s="484"/>
      <c r="H2201" s="109"/>
      <c r="I2201" s="109"/>
      <c r="J2201" s="109"/>
      <c r="K2201" s="109"/>
      <c r="L2201" s="109"/>
      <c r="M2201" s="109"/>
      <c r="N2201" s="25"/>
      <c r="O2201" s="195"/>
      <c r="P2201" s="29"/>
    </row>
    <row r="2202" spans="1:16" ht="15.95" customHeight="1" x14ac:dyDescent="0.25">
      <c r="A2202" s="121"/>
      <c r="B2202" s="23"/>
      <c r="C2202" s="59"/>
      <c r="D2202" s="62"/>
      <c r="E2202" s="36"/>
      <c r="F2202" s="483"/>
      <c r="G2202" s="484"/>
      <c r="H2202" s="656" t="s">
        <v>43</v>
      </c>
      <c r="I2202" s="656"/>
      <c r="J2202" s="92">
        <v>0</v>
      </c>
      <c r="K2202" s="92"/>
      <c r="L2202" s="24"/>
      <c r="M2202" s="24"/>
      <c r="N2202" s="25"/>
      <c r="O2202" s="195"/>
      <c r="P2202" s="29"/>
    </row>
    <row r="2203" spans="1:16" ht="15.95" customHeight="1" x14ac:dyDescent="0.25">
      <c r="A2203" s="121"/>
      <c r="B2203" s="23"/>
      <c r="C2203" s="59" t="s">
        <v>9</v>
      </c>
      <c r="D2203" s="98" t="s">
        <v>18</v>
      </c>
      <c r="E2203" s="36"/>
      <c r="F2203" s="483"/>
      <c r="G2203" s="484"/>
      <c r="H2203" s="657"/>
      <c r="I2203" s="657"/>
      <c r="J2203" s="392"/>
      <c r="K2203" s="24"/>
      <c r="L2203" s="33"/>
      <c r="M2203" s="33"/>
      <c r="N2203" s="25"/>
      <c r="O2203" s="195"/>
    </row>
    <row r="2204" spans="1:16" ht="15.95" customHeight="1" x14ac:dyDescent="0.25">
      <c r="A2204" s="121"/>
      <c r="B2204" s="23"/>
      <c r="C2204" s="59" t="s">
        <v>10</v>
      </c>
      <c r="D2204" s="65">
        <v>43432</v>
      </c>
      <c r="E2204" s="36"/>
      <c r="F2204" s="483"/>
      <c r="G2204" s="484"/>
      <c r="H2204" s="24"/>
      <c r="I2204" s="24"/>
      <c r="J2204" s="24"/>
      <c r="K2204" s="24"/>
      <c r="L2204" s="24"/>
      <c r="M2204" s="24"/>
      <c r="N2204" s="25"/>
      <c r="O2204" s="195"/>
      <c r="P2204" s="37"/>
    </row>
    <row r="2205" spans="1:16" ht="15.95" customHeight="1" x14ac:dyDescent="0.25">
      <c r="A2205" s="121"/>
      <c r="B2205" s="23"/>
      <c r="C2205" s="59" t="s">
        <v>11</v>
      </c>
      <c r="D2205" s="65">
        <v>43437</v>
      </c>
      <c r="E2205" s="36"/>
      <c r="F2205" s="483"/>
      <c r="G2205" s="484"/>
      <c r="H2205" s="638" t="s">
        <v>44</v>
      </c>
      <c r="I2205" s="639"/>
      <c r="J2205" s="639"/>
      <c r="K2205" s="639"/>
      <c r="L2205" s="639"/>
      <c r="M2205" s="640"/>
      <c r="N2205" s="25"/>
      <c r="O2205" s="195"/>
    </row>
    <row r="2206" spans="1:16" ht="15.95" customHeight="1" x14ac:dyDescent="0.25">
      <c r="A2206" s="121"/>
      <c r="B2206" s="23"/>
      <c r="C2206" s="59" t="s">
        <v>12</v>
      </c>
      <c r="D2206" s="65">
        <v>44168</v>
      </c>
      <c r="E2206" s="36"/>
      <c r="F2206" s="480"/>
      <c r="G2206" s="484"/>
      <c r="H2206" s="23"/>
      <c r="I2206" s="24"/>
      <c r="J2206" s="24"/>
      <c r="K2206" s="24"/>
      <c r="L2206" s="24"/>
      <c r="M2206" s="25"/>
      <c r="N2206" s="25"/>
      <c r="O2206" s="195"/>
    </row>
    <row r="2207" spans="1:16" ht="15.95" customHeight="1" x14ac:dyDescent="0.25">
      <c r="A2207" s="121"/>
      <c r="B2207" s="23"/>
      <c r="C2207" s="59" t="s">
        <v>27</v>
      </c>
      <c r="D2207" s="66">
        <v>10000000</v>
      </c>
      <c r="E2207" s="41"/>
      <c r="F2207" s="480"/>
      <c r="G2207" s="484"/>
      <c r="H2207" s="23"/>
      <c r="I2207" s="24"/>
      <c r="J2207" s="24"/>
      <c r="K2207" s="24"/>
      <c r="L2207" s="24"/>
      <c r="M2207" s="25"/>
      <c r="N2207" s="25"/>
      <c r="O2207" s="195"/>
    </row>
    <row r="2208" spans="1:16" ht="15.95" customHeight="1" x14ac:dyDescent="0.25">
      <c r="A2208" s="121"/>
      <c r="B2208" s="23"/>
      <c r="C2208" s="59" t="s">
        <v>26</v>
      </c>
      <c r="D2208" s="66">
        <v>6</v>
      </c>
      <c r="E2208" s="36"/>
      <c r="F2208" s="480"/>
      <c r="G2208" s="484"/>
      <c r="H2208" s="96"/>
      <c r="I2208" s="35"/>
      <c r="J2208" s="24"/>
      <c r="K2208" s="24"/>
      <c r="L2208" s="24"/>
      <c r="M2208" s="25"/>
      <c r="N2208" s="25"/>
      <c r="O2208" s="195"/>
    </row>
    <row r="2209" spans="1:17" ht="15.95" customHeight="1" x14ac:dyDescent="0.25">
      <c r="A2209" s="121"/>
      <c r="B2209" s="23"/>
      <c r="C2209" s="59" t="s">
        <v>19</v>
      </c>
      <c r="D2209" s="67" t="s">
        <v>20</v>
      </c>
      <c r="E2209" s="43"/>
      <c r="F2209" s="480"/>
      <c r="G2209" s="484"/>
      <c r="H2209" s="23"/>
      <c r="I2209" s="24"/>
      <c r="J2209" s="24"/>
      <c r="K2209" s="24"/>
      <c r="L2209" s="24"/>
      <c r="M2209" s="25"/>
      <c r="N2209" s="25"/>
      <c r="O2209" s="195"/>
    </row>
    <row r="2210" spans="1:17" ht="15.95" customHeight="1" x14ac:dyDescent="0.25">
      <c r="A2210" s="121"/>
      <c r="B2210" s="23"/>
      <c r="C2210" s="59" t="s">
        <v>14</v>
      </c>
      <c r="D2210" s="68">
        <v>8.48E-2</v>
      </c>
      <c r="E2210" s="43"/>
      <c r="F2210" s="480"/>
      <c r="G2210" s="484"/>
      <c r="H2210" s="23"/>
      <c r="I2210" s="24"/>
      <c r="J2210" s="24"/>
      <c r="K2210" s="24"/>
      <c r="L2210" s="24"/>
      <c r="M2210" s="25"/>
      <c r="N2210" s="25"/>
    </row>
    <row r="2211" spans="1:17" ht="15.95" customHeight="1" x14ac:dyDescent="0.25">
      <c r="A2211" s="121"/>
      <c r="B2211" s="23"/>
      <c r="C2211" s="59" t="s">
        <v>31</v>
      </c>
      <c r="D2211" s="68"/>
      <c r="E2211" s="43"/>
      <c r="F2211" s="480"/>
      <c r="G2211" s="484"/>
      <c r="H2211" s="23"/>
      <c r="I2211" s="24"/>
      <c r="J2211" s="24"/>
      <c r="K2211" s="24"/>
      <c r="L2211" s="24"/>
      <c r="M2211" s="25"/>
      <c r="N2211" s="25"/>
    </row>
    <row r="2212" spans="1:17" ht="15.95" customHeight="1" x14ac:dyDescent="0.25">
      <c r="A2212" s="121"/>
      <c r="B2212" s="23"/>
      <c r="C2212" s="59" t="s">
        <v>32</v>
      </c>
      <c r="D2212" s="68"/>
      <c r="E2212" s="44"/>
      <c r="F2212" s="480"/>
      <c r="G2212" s="484"/>
      <c r="H2212" s="23"/>
      <c r="I2212" s="24"/>
      <c r="J2212" s="24"/>
      <c r="K2212" s="24"/>
      <c r="L2212" s="24"/>
      <c r="M2212" s="25"/>
      <c r="N2212" s="25"/>
    </row>
    <row r="2213" spans="1:17" ht="15.95" customHeight="1" x14ac:dyDescent="0.25">
      <c r="A2213" s="121"/>
      <c r="B2213" s="23"/>
      <c r="C2213" s="59" t="s">
        <v>64</v>
      </c>
      <c r="D2213" s="68">
        <v>0.25</v>
      </c>
      <c r="E2213" s="24"/>
      <c r="F2213" s="480"/>
      <c r="G2213" s="484"/>
      <c r="H2213" s="23"/>
      <c r="I2213" s="24"/>
      <c r="J2213" s="24"/>
      <c r="K2213" s="24"/>
      <c r="L2213" s="24"/>
      <c r="M2213" s="25"/>
      <c r="N2213" s="25"/>
    </row>
    <row r="2214" spans="1:17" ht="15.95" customHeight="1" x14ac:dyDescent="0.25">
      <c r="A2214" s="121"/>
      <c r="B2214" s="23"/>
      <c r="C2214" s="60"/>
      <c r="D2214" s="110"/>
      <c r="E2214" s="24"/>
      <c r="F2214" s="480"/>
      <c r="G2214" s="484"/>
      <c r="H2214" s="23"/>
      <c r="I2214" s="24"/>
      <c r="J2214" s="24"/>
      <c r="K2214" s="24"/>
      <c r="L2214" s="24"/>
      <c r="M2214" s="25"/>
      <c r="N2214" s="25"/>
    </row>
    <row r="2215" spans="1:17" ht="15.95" customHeight="1" x14ac:dyDescent="0.25">
      <c r="A2215" s="121"/>
      <c r="B2215" s="23"/>
      <c r="C2215" s="24"/>
      <c r="D2215" s="24"/>
      <c r="E2215" s="24"/>
      <c r="F2215" s="480"/>
      <c r="G2215" s="485"/>
      <c r="H2215" s="23"/>
      <c r="I2215" s="24"/>
      <c r="J2215" s="24"/>
      <c r="K2215" s="24"/>
      <c r="L2215" s="24"/>
      <c r="M2215" s="25"/>
      <c r="N2215" s="25"/>
      <c r="O2215" s="194" t="str">
        <f>+D2370</f>
        <v>ON Pyme CNV Garantizada</v>
      </c>
    </row>
    <row r="2216" spans="1:17" ht="15.95" customHeight="1" x14ac:dyDescent="0.25">
      <c r="A2216" s="121"/>
      <c r="B2216" s="23"/>
      <c r="C2216" s="24"/>
      <c r="D2216" s="24"/>
      <c r="E2216" s="24"/>
      <c r="F2216" s="480"/>
      <c r="G2216" s="485"/>
      <c r="H2216" s="23"/>
      <c r="I2216" s="24"/>
      <c r="J2216" s="24"/>
      <c r="K2216" s="24"/>
      <c r="L2216" s="24"/>
      <c r="M2216" s="25"/>
      <c r="N2216" s="25"/>
      <c r="O2216" s="195"/>
    </row>
    <row r="2217" spans="1:17" ht="15.95" customHeight="1" x14ac:dyDescent="0.25">
      <c r="A2217" s="121"/>
      <c r="B2217" s="23"/>
      <c r="C2217" s="24"/>
      <c r="D2217" s="24"/>
      <c r="E2217" s="24"/>
      <c r="F2217" s="480"/>
      <c r="G2217" s="485"/>
      <c r="H2217" s="23"/>
      <c r="I2217" s="24"/>
      <c r="J2217" s="24"/>
      <c r="K2217" s="24"/>
      <c r="L2217" s="24"/>
      <c r="M2217" s="25"/>
      <c r="N2217" s="25"/>
      <c r="O2217" s="194" t="str">
        <f>+IF(J2368="vencida",IF(D2370='Reporte - Oscuro'!$C$40,'Reporte - Oscuro'!$C$40&amp;" vencida",IF(D2370='Reporte - Oscuro'!$C$41,'Reporte - Oscuro'!$C$41&amp;" vencida",IF(D2370='Reporte - Oscuro'!$C$42,'Reporte - Oscuro'!$C$42&amp;" vencida",'Reporte - Oscuro'!$C$43&amp;" vencida"))),D2370&amp;" vigente")</f>
        <v>ON Pyme CNV Garantizada vencida</v>
      </c>
    </row>
    <row r="2218" spans="1:17" ht="15.95" customHeight="1" x14ac:dyDescent="0.25">
      <c r="A2218" s="121"/>
      <c r="B2218" s="23"/>
      <c r="C2218" s="24"/>
      <c r="D2218" s="24"/>
      <c r="E2218" s="24"/>
      <c r="F2218" s="480"/>
      <c r="G2218" s="485"/>
      <c r="H2218" s="26"/>
      <c r="I2218" s="27"/>
      <c r="J2218" s="27"/>
      <c r="K2218" s="27"/>
      <c r="L2218" s="27"/>
      <c r="M2218" s="28"/>
      <c r="N2218" s="25"/>
      <c r="O2218" s="195"/>
    </row>
    <row r="2219" spans="1:17" ht="15.95" customHeight="1" x14ac:dyDescent="0.25">
      <c r="A2219" s="121"/>
      <c r="B2219" s="26"/>
      <c r="C2219" s="27"/>
      <c r="D2219" s="27"/>
      <c r="E2219" s="27"/>
      <c r="F2219" s="481"/>
      <c r="G2219" s="486"/>
      <c r="H2219" s="27"/>
      <c r="I2219" s="27"/>
      <c r="J2219" s="27"/>
      <c r="K2219" s="27"/>
      <c r="L2219" s="27"/>
      <c r="M2219" s="27"/>
      <c r="N2219" s="28"/>
      <c r="O2219" s="195"/>
    </row>
    <row r="2220" spans="1:17" ht="15.95" customHeight="1" x14ac:dyDescent="0.25">
      <c r="A2220" s="121"/>
      <c r="B2220" s="635" t="s">
        <v>185</v>
      </c>
      <c r="C2220" s="636"/>
      <c r="D2220" s="636"/>
      <c r="E2220" s="636"/>
      <c r="F2220" s="636"/>
      <c r="G2220" s="636"/>
      <c r="H2220" s="636"/>
      <c r="I2220" s="636"/>
      <c r="J2220" s="636"/>
      <c r="K2220" s="636"/>
      <c r="L2220" s="636"/>
      <c r="M2220" s="636"/>
      <c r="N2220" s="637"/>
      <c r="O2220" s="195"/>
    </row>
    <row r="2221" spans="1:17" ht="15.95" customHeight="1" x14ac:dyDescent="0.25">
      <c r="A2221" s="121"/>
      <c r="B2221" s="23"/>
      <c r="C2221" s="24"/>
      <c r="D2221" s="24"/>
      <c r="E2221" s="24"/>
      <c r="F2221" s="483"/>
      <c r="G2221" s="484"/>
      <c r="H2221" s="31"/>
      <c r="I2221" s="31"/>
      <c r="J2221" s="24"/>
      <c r="K2221" s="24"/>
      <c r="L2221" s="24"/>
      <c r="M2221" s="24"/>
      <c r="N2221" s="25"/>
      <c r="O2221" s="197">
        <f>+M2373</f>
        <v>-3500000</v>
      </c>
      <c r="P2221" s="197">
        <f>-M2373</f>
        <v>3500000</v>
      </c>
      <c r="Q2221" s="197"/>
    </row>
    <row r="2222" spans="1:17" ht="20.100000000000001" customHeight="1" x14ac:dyDescent="0.25">
      <c r="A2222" s="121"/>
      <c r="B2222" s="23"/>
      <c r="C2222" s="638" t="s">
        <v>37</v>
      </c>
      <c r="D2222" s="639"/>
      <c r="E2222" s="640"/>
      <c r="F2222" s="483"/>
      <c r="G2222" s="484"/>
      <c r="H2222" s="641" t="s">
        <v>28</v>
      </c>
      <c r="I2222" s="642"/>
      <c r="J2222" s="39">
        <f>+$D$2241-SUMIF($H$2228:$H$2233,"&lt;"&amp;$M$4,$K$2228:$K$2233)</f>
        <v>0</v>
      </c>
      <c r="K2222" s="24"/>
      <c r="L2222" s="24"/>
      <c r="M2222" s="24"/>
      <c r="N2222" s="25"/>
      <c r="O2222" s="197">
        <f t="shared" ref="O2222:O2233" si="215">+M2374+O2221</f>
        <v>-3006657.986111111</v>
      </c>
      <c r="P2222" s="197">
        <f t="shared" ref="P2222:P2233" si="216">+(M2374/(1+$J$2389)^((H2374-$H$2373)/365))/$P$2221</f>
        <v>0.14095486111111111</v>
      </c>
      <c r="Q2222" s="197">
        <f t="shared" ref="Q2222:Q2233" si="217">+P2222*((H2374-$H$2373)/365)</f>
        <v>3.5528348554033487E-2</v>
      </c>
    </row>
    <row r="2223" spans="1:17" ht="15.95" customHeight="1" x14ac:dyDescent="0.25">
      <c r="A2223" s="121"/>
      <c r="B2223" s="23"/>
      <c r="C2223" s="58"/>
      <c r="D2223" s="664"/>
      <c r="E2223" s="665"/>
      <c r="F2223" s="483"/>
      <c r="G2223" s="484"/>
      <c r="H2223" s="645" t="s">
        <v>29</v>
      </c>
      <c r="I2223" s="646"/>
      <c r="J2223" s="40">
        <f>+$D$2240</f>
        <v>44255</v>
      </c>
      <c r="K2223" s="24"/>
      <c r="L2223" s="24"/>
      <c r="M2223" s="24"/>
      <c r="N2223" s="25"/>
      <c r="O2223" s="197">
        <f t="shared" si="215"/>
        <v>-2523493.923611111</v>
      </c>
      <c r="P2223" s="197">
        <f t="shared" si="216"/>
        <v>0.13804687499999999</v>
      </c>
      <c r="Q2223" s="197">
        <f t="shared" si="217"/>
        <v>6.8834332191780812E-2</v>
      </c>
    </row>
    <row r="2224" spans="1:17" ht="20.100000000000001" customHeight="1" x14ac:dyDescent="0.25">
      <c r="A2224" s="121"/>
      <c r="B2224" s="23"/>
      <c r="C2224" s="59" t="s">
        <v>25</v>
      </c>
      <c r="D2224" s="658"/>
      <c r="E2224" s="659"/>
      <c r="F2224" s="483"/>
      <c r="G2224" s="484"/>
      <c r="H2224" s="649" t="s">
        <v>30</v>
      </c>
      <c r="I2224" s="650"/>
      <c r="J2224" s="42" t="str">
        <f t="array" ref="J2224">+IF(H2233&gt;=M4,MIN(IF(H2228:H2234&gt;=$M$4,H2228:H2234,"")),"vencida")</f>
        <v>vencida</v>
      </c>
      <c r="K2224" s="24"/>
      <c r="L2224" s="24"/>
      <c r="M2224" s="24"/>
      <c r="N2224" s="25"/>
      <c r="O2224" s="197">
        <f t="shared" si="215"/>
        <v>-2022243.4895833333</v>
      </c>
      <c r="P2224" s="197">
        <f t="shared" si="216"/>
        <v>0.14321440972222221</v>
      </c>
      <c r="Q2224" s="197">
        <f t="shared" si="217"/>
        <v>0.10711653110730593</v>
      </c>
    </row>
    <row r="2225" spans="1:17" ht="15.95" customHeight="1" x14ac:dyDescent="0.25">
      <c r="A2225" s="121"/>
      <c r="B2225" s="23"/>
      <c r="C2225" s="59" t="s">
        <v>6</v>
      </c>
      <c r="D2225" s="658" t="s">
        <v>186</v>
      </c>
      <c r="E2225" s="659"/>
      <c r="F2225" s="483"/>
      <c r="G2225" s="484"/>
      <c r="H2225" s="24"/>
      <c r="I2225" s="24"/>
      <c r="J2225" s="24"/>
      <c r="K2225" s="24"/>
      <c r="L2225" s="24"/>
      <c r="M2225" s="24"/>
      <c r="N2225" s="25"/>
      <c r="O2225" s="197">
        <f t="shared" si="215"/>
        <v>-319026.82291666674</v>
      </c>
      <c r="P2225" s="197">
        <f t="shared" si="216"/>
        <v>0.48663333333333331</v>
      </c>
      <c r="Q2225" s="197">
        <f t="shared" si="217"/>
        <v>0.48663333333333331</v>
      </c>
    </row>
    <row r="2226" spans="1:17" ht="20.100000000000001" customHeight="1" x14ac:dyDescent="0.25">
      <c r="A2226" s="121"/>
      <c r="B2226" s="23"/>
      <c r="C2226" s="59" t="s">
        <v>8</v>
      </c>
      <c r="D2226" s="658" t="s">
        <v>17</v>
      </c>
      <c r="E2226" s="659"/>
      <c r="F2226" s="483"/>
      <c r="G2226" s="484"/>
      <c r="H2226" s="651" t="s">
        <v>41</v>
      </c>
      <c r="I2226" s="652"/>
      <c r="J2226" s="652"/>
      <c r="K2226" s="652"/>
      <c r="L2226" s="653"/>
      <c r="M2226" s="24"/>
      <c r="N2226" s="25"/>
      <c r="O2226" s="197">
        <f t="shared" si="215"/>
        <v>4852.7961805554805</v>
      </c>
      <c r="P2226" s="197">
        <f t="shared" si="216"/>
        <v>9.2537034027777784E-2</v>
      </c>
      <c r="Q2226" s="197">
        <f t="shared" si="217"/>
        <v>0.11586143712519027</v>
      </c>
    </row>
    <row r="2227" spans="1:17" ht="15.95" customHeight="1" x14ac:dyDescent="0.25">
      <c r="A2227" s="121"/>
      <c r="B2227" s="23"/>
      <c r="C2227" s="59" t="s">
        <v>33</v>
      </c>
      <c r="D2227" s="73" t="s">
        <v>313</v>
      </c>
      <c r="E2227" s="273">
        <v>0.75</v>
      </c>
      <c r="F2227" s="483">
        <f>+E2227*$J$2222</f>
        <v>0</v>
      </c>
      <c r="G2227" s="484"/>
      <c r="H2227" s="81" t="s">
        <v>0</v>
      </c>
      <c r="I2227" s="82" t="s">
        <v>2</v>
      </c>
      <c r="J2227" s="82" t="s">
        <v>3</v>
      </c>
      <c r="K2227" s="82" t="s">
        <v>4</v>
      </c>
      <c r="L2227" s="83" t="s">
        <v>5</v>
      </c>
      <c r="M2227" s="82" t="s">
        <v>44</v>
      </c>
      <c r="N2227" s="25"/>
      <c r="O2227" s="197">
        <f t="shared" si="215"/>
        <v>238578.60225694437</v>
      </c>
      <c r="P2227" s="197">
        <f t="shared" si="216"/>
        <v>6.6778801736111115E-2</v>
      </c>
      <c r="Q2227" s="197">
        <f t="shared" si="217"/>
        <v>0.10025968041476409</v>
      </c>
    </row>
    <row r="2228" spans="1:17" ht="15.95" customHeight="1" x14ac:dyDescent="0.25">
      <c r="A2228" s="121"/>
      <c r="B2228" s="23"/>
      <c r="C2228" s="278" t="s">
        <v>33</v>
      </c>
      <c r="D2228" s="73" t="s">
        <v>319</v>
      </c>
      <c r="E2228" s="273">
        <v>0.25</v>
      </c>
      <c r="F2228" s="483">
        <f>+E2228*$J$2222</f>
        <v>0</v>
      </c>
      <c r="G2228" s="484"/>
      <c r="H2228" s="45"/>
      <c r="I2228" s="46"/>
      <c r="J2228" s="46"/>
      <c r="K2228" s="46"/>
      <c r="L2228" s="47"/>
      <c r="M2228" s="23"/>
      <c r="N2228" s="25"/>
      <c r="O2228" s="197">
        <f t="shared" si="215"/>
        <v>439862.97152777773</v>
      </c>
      <c r="P2228" s="197">
        <f t="shared" si="216"/>
        <v>5.7509819791666673E-2</v>
      </c>
      <c r="Q2228" s="197">
        <f t="shared" si="217"/>
        <v>0.10068157492294522</v>
      </c>
    </row>
    <row r="2229" spans="1:17" ht="15.95" customHeight="1" x14ac:dyDescent="0.25">
      <c r="A2229" s="121"/>
      <c r="B2229" s="23"/>
      <c r="C2229" s="59" t="s">
        <v>34</v>
      </c>
      <c r="D2229" s="658" t="s">
        <v>100</v>
      </c>
      <c r="E2229" s="659"/>
      <c r="F2229" s="483"/>
      <c r="G2229" s="484"/>
      <c r="H2229" s="48">
        <f>+$D$2239</f>
        <v>43524</v>
      </c>
      <c r="I2229" s="70"/>
      <c r="J2229" s="49"/>
      <c r="K2229" s="49"/>
      <c r="L2229" s="50">
        <f>+D2241</f>
        <v>10000000</v>
      </c>
      <c r="M2229" s="93">
        <f>-L2229</f>
        <v>-10000000</v>
      </c>
      <c r="N2229" s="25"/>
      <c r="O2229" s="197">
        <f t="shared" si="215"/>
        <v>1809909.2569444445</v>
      </c>
      <c r="P2229" s="197">
        <f t="shared" si="216"/>
        <v>0.39144179583333333</v>
      </c>
      <c r="Q2229" s="197">
        <f t="shared" si="217"/>
        <v>0.78395603494292243</v>
      </c>
    </row>
    <row r="2230" spans="1:17" ht="15.95" customHeight="1" x14ac:dyDescent="0.25">
      <c r="A2230" s="121"/>
      <c r="B2230" s="23"/>
      <c r="C2230" s="79" t="s">
        <v>38</v>
      </c>
      <c r="D2230" s="75"/>
      <c r="E2230" s="76"/>
      <c r="F2230" s="483"/>
      <c r="G2230" s="484"/>
      <c r="H2230" s="51">
        <f>IF(DAY(H2229)=DAY($H$2229),IF(WEEKDAY(EDATE(H2229,$D$2242),3)&lt;5,EDATE(H2229,$D$2242),WORKDAY(EDATE(H2229,$D$2242),1)),IF(WEEKDAY(EDATE($H$2229,$D$2242*COUNT($H$2229:H2229)),3)&lt;5,EDATE($H$2229,$D$2242*COUNT($H$2229:H2229)),WORKDAY(EDATE($H$2229,$D$2242*COUNT($H$2229:H2229)),1)))</f>
        <v>43705</v>
      </c>
      <c r="I2230" s="71" t="s">
        <v>13</v>
      </c>
      <c r="J2230" s="52">
        <v>2696145.833333333</v>
      </c>
      <c r="K2230" s="52">
        <f>+IF(OR(I2230="A + C",I2230="A"),$D$2241*$D$2247,0)</f>
        <v>2500000</v>
      </c>
      <c r="L2230" s="53">
        <f>+L2229-K2230</f>
        <v>7500000</v>
      </c>
      <c r="M2230" s="94">
        <f>+J2230+K2230</f>
        <v>5196145.833333333</v>
      </c>
      <c r="N2230" s="25"/>
      <c r="O2230" s="197">
        <f t="shared" si="215"/>
        <v>1911672.6611111111</v>
      </c>
      <c r="P2230" s="197">
        <f t="shared" si="216"/>
        <v>2.9075258333333333E-2</v>
      </c>
      <c r="Q2230" s="197">
        <f t="shared" si="217"/>
        <v>6.5558733173515973E-2</v>
      </c>
    </row>
    <row r="2231" spans="1:17" ht="15.95" customHeight="1" x14ac:dyDescent="0.25">
      <c r="A2231" s="121"/>
      <c r="B2231" s="23"/>
      <c r="C2231" s="59"/>
      <c r="D2231" s="73"/>
      <c r="E2231" s="74"/>
      <c r="F2231" s="483"/>
      <c r="G2231" s="484"/>
      <c r="H2231" s="51">
        <f>IF(DAY(H2230)=DAY($H$2229),IF(WEEKDAY(EDATE(H2230,$D$2242),3)&lt;5,EDATE(H2230,$D$2242),WORKDAY(EDATE(H2230,$D$2242),1)),IF(WEEKDAY(EDATE($H$2229,$D$2242*COUNT($H$2229:H2230)),3)&lt;5,EDATE($H$2229,$D$2242*COUNT($H$2229:H2230)),WORKDAY(EDATE($H$2229,$D$2242*COUNT($H$2229:H2230)),1)))</f>
        <v>43889</v>
      </c>
      <c r="I2231" s="71" t="s">
        <v>13</v>
      </c>
      <c r="J2231" s="52">
        <v>2018489.5833333333</v>
      </c>
      <c r="K2231" s="52">
        <f>+IF(OR(I2231="A + C",I2231="A"),$D$2241*$D$2247,0)</f>
        <v>2500000</v>
      </c>
      <c r="L2231" s="53">
        <f>+L2230-K2231</f>
        <v>5000000</v>
      </c>
      <c r="M2231" s="94">
        <f>+J2231+K2231</f>
        <v>4518489.583333333</v>
      </c>
      <c r="N2231" s="25"/>
      <c r="O2231" s="197">
        <f t="shared" si="215"/>
        <v>2011223.8173611111</v>
      </c>
      <c r="P2231" s="197">
        <f t="shared" si="216"/>
        <v>2.8443187500000001E-2</v>
      </c>
      <c r="Q2231" s="197">
        <f t="shared" si="217"/>
        <v>7.1146932020547948E-2</v>
      </c>
    </row>
    <row r="2232" spans="1:17" ht="15.95" customHeight="1" x14ac:dyDescent="0.25">
      <c r="A2232" s="121"/>
      <c r="B2232" s="23"/>
      <c r="C2232" s="60"/>
      <c r="D2232" s="77"/>
      <c r="E2232" s="78"/>
      <c r="F2232" s="483"/>
      <c r="G2232" s="484"/>
      <c r="H2232" s="51">
        <f>IF(DAY(H2231)=DAY($H$2229),IF(WEEKDAY(EDATE(H2231,$D$2242),3)&lt;5,EDATE(H2231,$D$2242),WORKDAY(EDATE(H2231,$D$2242),1)),IF(WEEKDAY(EDATE($H$2229,$D$2242*COUNT($H$2229:H2231)),3)&lt;5,EDATE($H$2229,$D$2242*COUNT($H$2229:H2231)),WORKDAY(EDATE($H$2229,$D$2242*COUNT($H$2229:H2231)),1)))</f>
        <v>44071</v>
      </c>
      <c r="I2232" s="71" t="s">
        <v>13</v>
      </c>
      <c r="J2232" s="52">
        <v>929748.26388888888</v>
      </c>
      <c r="K2232" s="52">
        <f>+IF(OR(I2232="A + C",I2232="A"),$D$2241*$D$2247,0)</f>
        <v>2500000</v>
      </c>
      <c r="L2232" s="53">
        <f>+L2231-K2232</f>
        <v>2500000</v>
      </c>
      <c r="M2232" s="94">
        <f>+J2232+K2232</f>
        <v>3429748.263888889</v>
      </c>
      <c r="N2232" s="25"/>
      <c r="O2232" s="197">
        <f t="shared" si="215"/>
        <v>2111881.0975694442</v>
      </c>
      <c r="P2232" s="197">
        <f t="shared" si="216"/>
        <v>2.8759222916666667E-2</v>
      </c>
      <c r="Q2232" s="197">
        <f t="shared" si="217"/>
        <v>7.9107561118721456E-2</v>
      </c>
    </row>
    <row r="2233" spans="1:17" ht="15.95" customHeight="1" x14ac:dyDescent="0.25">
      <c r="A2233" s="121"/>
      <c r="B2233" s="32"/>
      <c r="C2233" s="60"/>
      <c r="D2233" s="275" t="str">
        <f>+B2220</f>
        <v>Tradimex III</v>
      </c>
      <c r="E2233" s="276"/>
      <c r="F2233" s="483"/>
      <c r="G2233" s="484">
        <f>+J2222</f>
        <v>0</v>
      </c>
      <c r="H2233" s="51">
        <f>IF(DAY(H2232)=DAY($H$2229),IF(WEEKDAY(EDATE(H2232,$D$2242),3)&lt;5,EDATE(H2232,$D$2242),WORKDAY(EDATE(H2232,$D$2242),1)),IF(WEEKDAY(EDATE($H$2229,$D$2242*COUNT($H$2229:H2232)),3)&lt;5,EDATE($H$2229,$D$2242*COUNT($H$2229:H2232)),WORKDAY(EDATE($H$2229,$D$2242*COUNT($H$2229:H2232)),1)))</f>
        <v>44256</v>
      </c>
      <c r="I2233" s="71" t="s">
        <v>13</v>
      </c>
      <c r="J2233" s="52">
        <v>425564.23611111107</v>
      </c>
      <c r="K2233" s="52">
        <f>+IF(OR(I2233="A + C",I2233="A"),$D$2241*$D$2247,0)</f>
        <v>2500000</v>
      </c>
      <c r="L2233" s="53">
        <f>+L2232-K2233</f>
        <v>0</v>
      </c>
      <c r="M2233" s="94">
        <f>+J2233+K2233</f>
        <v>2925564.236111111</v>
      </c>
      <c r="N2233" s="25"/>
      <c r="O2233" s="197">
        <f t="shared" si="215"/>
        <v>3380544.501736111</v>
      </c>
      <c r="P2233" s="197">
        <f t="shared" si="216"/>
        <v>0.36247525833333333</v>
      </c>
      <c r="Q2233" s="197">
        <f t="shared" si="217"/>
        <v>1.0884188578995433</v>
      </c>
    </row>
    <row r="2234" spans="1:17" ht="15.95" customHeight="1" x14ac:dyDescent="0.25">
      <c r="A2234" s="121"/>
      <c r="B2234" s="23"/>
      <c r="D2234" s="277"/>
      <c r="E2234" s="277"/>
      <c r="F2234" s="483"/>
      <c r="G2234" s="484"/>
      <c r="H2234" s="54"/>
      <c r="I2234" s="104"/>
      <c r="J2234" s="105"/>
      <c r="K2234" s="105"/>
      <c r="L2234" s="106"/>
      <c r="M2234" s="109"/>
      <c r="N2234" s="25"/>
      <c r="O2234" s="195"/>
    </row>
    <row r="2235" spans="1:17" ht="15.95" customHeight="1" x14ac:dyDescent="0.25">
      <c r="A2235" s="121"/>
      <c r="B2235" s="23"/>
      <c r="C2235" s="638" t="s">
        <v>36</v>
      </c>
      <c r="D2235" s="640"/>
      <c r="E2235" s="36"/>
      <c r="F2235" s="483"/>
      <c r="G2235" s="484"/>
      <c r="H2235" s="109"/>
      <c r="I2235" s="109"/>
      <c r="J2235" s="109"/>
      <c r="K2235" s="109"/>
      <c r="L2235" s="109"/>
      <c r="M2235" s="109"/>
      <c r="N2235" s="25"/>
      <c r="O2235" s="195"/>
    </row>
    <row r="2236" spans="1:17" ht="15.95" customHeight="1" x14ac:dyDescent="0.25">
      <c r="A2236" s="121"/>
      <c r="B2236" s="23"/>
      <c r="C2236" s="59"/>
      <c r="D2236" s="62"/>
      <c r="E2236" s="36"/>
      <c r="F2236" s="483"/>
      <c r="G2236" s="484"/>
      <c r="H2236" s="656" t="s">
        <v>43</v>
      </c>
      <c r="I2236" s="656"/>
      <c r="J2236" s="92">
        <v>0</v>
      </c>
      <c r="K2236" s="92"/>
      <c r="L2236" s="24"/>
      <c r="M2236" s="24"/>
      <c r="N2236" s="25"/>
      <c r="O2236" s="195"/>
    </row>
    <row r="2237" spans="1:17" ht="15.95" customHeight="1" x14ac:dyDescent="0.25">
      <c r="A2237" s="121"/>
      <c r="B2237" s="23"/>
      <c r="C2237" s="59" t="s">
        <v>9</v>
      </c>
      <c r="D2237" s="98" t="s">
        <v>18</v>
      </c>
      <c r="E2237" s="36"/>
      <c r="F2237" s="483"/>
      <c r="G2237" s="484"/>
      <c r="H2237" s="657"/>
      <c r="I2237" s="657"/>
      <c r="J2237" s="392"/>
      <c r="K2237" s="24"/>
      <c r="L2237" s="33"/>
      <c r="M2237" s="33"/>
      <c r="N2237" s="25"/>
      <c r="O2237" s="195"/>
    </row>
    <row r="2238" spans="1:17" ht="15.95" customHeight="1" x14ac:dyDescent="0.25">
      <c r="A2238" s="121"/>
      <c r="B2238" s="23"/>
      <c r="C2238" s="59" t="s">
        <v>10</v>
      </c>
      <c r="D2238" s="65">
        <v>43522</v>
      </c>
      <c r="E2238" s="36"/>
      <c r="F2238" s="483"/>
      <c r="G2238" s="484"/>
      <c r="H2238" s="24"/>
      <c r="I2238" s="24"/>
      <c r="J2238" s="24"/>
      <c r="K2238" s="24"/>
      <c r="L2238" s="24"/>
      <c r="M2238" s="24"/>
      <c r="N2238" s="25"/>
      <c r="O2238" s="195"/>
    </row>
    <row r="2239" spans="1:17" ht="15.95" customHeight="1" x14ac:dyDescent="0.25">
      <c r="A2239" s="121"/>
      <c r="B2239" s="23"/>
      <c r="C2239" s="59" t="s">
        <v>11</v>
      </c>
      <c r="D2239" s="65">
        <v>43524</v>
      </c>
      <c r="E2239" s="36"/>
      <c r="F2239" s="483"/>
      <c r="G2239" s="484"/>
      <c r="H2239" s="638" t="s">
        <v>44</v>
      </c>
      <c r="I2239" s="639"/>
      <c r="J2239" s="639"/>
      <c r="K2239" s="639"/>
      <c r="L2239" s="639"/>
      <c r="M2239" s="640"/>
      <c r="N2239" s="25"/>
      <c r="O2239" s="195"/>
    </row>
    <row r="2240" spans="1:17" ht="15.95" customHeight="1" x14ac:dyDescent="0.25">
      <c r="A2240" s="121"/>
      <c r="B2240" s="23"/>
      <c r="C2240" s="59" t="s">
        <v>12</v>
      </c>
      <c r="D2240" s="65">
        <v>44255</v>
      </c>
      <c r="E2240" s="36"/>
      <c r="F2240" s="480"/>
      <c r="G2240" s="484"/>
      <c r="H2240" s="23"/>
      <c r="I2240" s="24"/>
      <c r="J2240" s="24"/>
      <c r="K2240" s="24"/>
      <c r="L2240" s="24"/>
      <c r="M2240" s="25"/>
      <c r="N2240" s="25"/>
      <c r="O2240" s="195"/>
    </row>
    <row r="2241" spans="1:15" ht="15.95" customHeight="1" x14ac:dyDescent="0.25">
      <c r="A2241" s="121"/>
      <c r="B2241" s="23"/>
      <c r="C2241" s="59" t="s">
        <v>27</v>
      </c>
      <c r="D2241" s="66">
        <v>10000000</v>
      </c>
      <c r="E2241" s="41"/>
      <c r="F2241" s="480"/>
      <c r="G2241" s="484"/>
      <c r="H2241" s="23"/>
      <c r="I2241" s="24"/>
      <c r="J2241" s="24"/>
      <c r="K2241" s="24"/>
      <c r="L2241" s="24"/>
      <c r="M2241" s="25"/>
      <c r="N2241" s="25"/>
      <c r="O2241" s="195"/>
    </row>
    <row r="2242" spans="1:15" ht="15.95" customHeight="1" x14ac:dyDescent="0.25">
      <c r="A2242" s="121"/>
      <c r="B2242" s="23"/>
      <c r="C2242" s="59" t="s">
        <v>26</v>
      </c>
      <c r="D2242" s="66">
        <v>6</v>
      </c>
      <c r="E2242" s="36"/>
      <c r="F2242" s="480"/>
      <c r="G2242" s="484"/>
      <c r="H2242" s="96"/>
      <c r="I2242" s="35"/>
      <c r="J2242" s="24"/>
      <c r="K2242" s="24"/>
      <c r="L2242" s="24"/>
      <c r="M2242" s="25"/>
      <c r="N2242" s="25"/>
      <c r="O2242" s="195"/>
    </row>
    <row r="2243" spans="1:15" ht="15.95" customHeight="1" x14ac:dyDescent="0.25">
      <c r="A2243" s="121"/>
      <c r="B2243" s="23"/>
      <c r="C2243" s="59" t="s">
        <v>19</v>
      </c>
      <c r="D2243" s="67" t="s">
        <v>20</v>
      </c>
      <c r="E2243" s="43"/>
      <c r="F2243" s="480"/>
      <c r="G2243" s="484"/>
      <c r="H2243" s="23"/>
      <c r="I2243" s="24"/>
      <c r="J2243" s="24"/>
      <c r="K2243" s="24"/>
      <c r="L2243" s="24"/>
      <c r="M2243" s="25"/>
      <c r="N2243" s="25"/>
      <c r="O2243" s="195"/>
    </row>
    <row r="2244" spans="1:15" ht="15.95" customHeight="1" x14ac:dyDescent="0.25">
      <c r="A2244" s="121"/>
      <c r="B2244" s="23"/>
      <c r="C2244" s="59" t="s">
        <v>14</v>
      </c>
      <c r="D2244" s="68">
        <v>7.0000000000000007E-2</v>
      </c>
      <c r="E2244" s="43"/>
      <c r="F2244" s="480"/>
      <c r="G2244" s="484"/>
      <c r="H2244" s="23"/>
      <c r="I2244" s="24"/>
      <c r="J2244" s="24"/>
      <c r="K2244" s="24"/>
      <c r="L2244" s="24"/>
      <c r="M2244" s="25"/>
      <c r="N2244" s="25"/>
      <c r="O2244" s="195"/>
    </row>
    <row r="2245" spans="1:15" ht="15.95" customHeight="1" x14ac:dyDescent="0.25">
      <c r="A2245" s="121"/>
      <c r="B2245" s="23"/>
      <c r="C2245" s="59" t="s">
        <v>31</v>
      </c>
      <c r="D2245" s="68"/>
      <c r="E2245" s="43"/>
      <c r="F2245" s="480"/>
      <c r="G2245" s="484"/>
      <c r="H2245" s="23"/>
      <c r="I2245" s="24"/>
      <c r="J2245" s="24"/>
      <c r="K2245" s="24"/>
      <c r="L2245" s="24"/>
      <c r="M2245" s="25"/>
      <c r="N2245" s="25"/>
      <c r="O2245" s="195"/>
    </row>
    <row r="2246" spans="1:15" ht="15.95" customHeight="1" x14ac:dyDescent="0.25">
      <c r="A2246" s="121"/>
      <c r="B2246" s="23"/>
      <c r="C2246" s="59" t="s">
        <v>32</v>
      </c>
      <c r="D2246" s="68"/>
      <c r="E2246" s="44"/>
      <c r="F2246" s="480"/>
      <c r="G2246" s="484"/>
      <c r="H2246" s="23"/>
      <c r="I2246" s="24"/>
      <c r="J2246" s="24"/>
      <c r="K2246" s="24"/>
      <c r="L2246" s="24"/>
      <c r="M2246" s="25"/>
      <c r="N2246" s="25"/>
      <c r="O2246" s="195"/>
    </row>
    <row r="2247" spans="1:15" ht="15.95" customHeight="1" x14ac:dyDescent="0.25">
      <c r="A2247" s="121"/>
      <c r="B2247" s="23"/>
      <c r="C2247" s="59" t="s">
        <v>64</v>
      </c>
      <c r="D2247" s="68">
        <v>0.25</v>
      </c>
      <c r="E2247" s="24"/>
      <c r="F2247" s="480"/>
      <c r="G2247" s="484"/>
      <c r="H2247" s="23"/>
      <c r="I2247" s="24"/>
      <c r="J2247" s="24"/>
      <c r="K2247" s="24"/>
      <c r="L2247" s="24"/>
      <c r="M2247" s="25"/>
      <c r="N2247" s="25"/>
      <c r="O2247" s="195"/>
    </row>
    <row r="2248" spans="1:15" ht="15.95" customHeight="1" x14ac:dyDescent="0.25">
      <c r="A2248" s="121"/>
      <c r="B2248" s="23"/>
      <c r="C2248" s="60"/>
      <c r="D2248" s="110"/>
      <c r="E2248" s="24"/>
      <c r="F2248" s="480"/>
      <c r="G2248" s="484"/>
      <c r="H2248" s="23"/>
      <c r="I2248" s="24"/>
      <c r="J2248" s="24"/>
      <c r="K2248" s="24"/>
      <c r="L2248" s="24"/>
      <c r="M2248" s="25"/>
      <c r="N2248" s="25"/>
      <c r="O2248" s="195"/>
    </row>
    <row r="2249" spans="1:15" ht="15.95" customHeight="1" x14ac:dyDescent="0.25">
      <c r="A2249" s="121"/>
      <c r="B2249" s="23"/>
      <c r="C2249" s="24"/>
      <c r="D2249" s="24"/>
      <c r="E2249" s="24"/>
      <c r="F2249" s="480"/>
      <c r="G2249" s="485"/>
      <c r="H2249" s="23"/>
      <c r="I2249" s="24"/>
      <c r="J2249" s="24"/>
      <c r="K2249" s="24"/>
      <c r="L2249" s="24"/>
      <c r="M2249" s="25"/>
      <c r="N2249" s="25"/>
      <c r="O2249" s="195"/>
    </row>
    <row r="2250" spans="1:15" ht="15.95" customHeight="1" x14ac:dyDescent="0.25">
      <c r="A2250" s="121"/>
      <c r="B2250" s="23"/>
      <c r="C2250" s="24"/>
      <c r="D2250" s="24"/>
      <c r="E2250" s="24"/>
      <c r="F2250" s="480"/>
      <c r="G2250" s="485"/>
      <c r="H2250" s="23"/>
      <c r="I2250" s="24"/>
      <c r="J2250" s="24"/>
      <c r="K2250" s="24"/>
      <c r="L2250" s="24"/>
      <c r="M2250" s="25"/>
      <c r="N2250" s="25"/>
      <c r="O2250" s="195"/>
    </row>
    <row r="2251" spans="1:15" ht="15.95" customHeight="1" x14ac:dyDescent="0.25">
      <c r="A2251" s="121"/>
      <c r="B2251" s="23"/>
      <c r="C2251" s="24"/>
      <c r="D2251" s="24"/>
      <c r="E2251" s="24"/>
      <c r="F2251" s="480"/>
      <c r="G2251" s="485"/>
      <c r="H2251" s="23"/>
      <c r="I2251" s="24"/>
      <c r="J2251" s="24"/>
      <c r="K2251" s="24"/>
      <c r="L2251" s="24"/>
      <c r="M2251" s="25"/>
      <c r="N2251" s="25"/>
      <c r="O2251" s="195"/>
    </row>
    <row r="2252" spans="1:15" ht="15.95" customHeight="1" x14ac:dyDescent="0.25">
      <c r="A2252" s="121"/>
      <c r="B2252" s="23"/>
      <c r="C2252" s="24"/>
      <c r="D2252" s="24"/>
      <c r="E2252" s="24"/>
      <c r="F2252" s="480"/>
      <c r="G2252" s="485"/>
      <c r="H2252" s="26"/>
      <c r="I2252" s="27"/>
      <c r="J2252" s="27"/>
      <c r="K2252" s="27"/>
      <c r="L2252" s="27"/>
      <c r="M2252" s="28"/>
      <c r="N2252" s="25"/>
      <c r="O2252" s="195"/>
    </row>
    <row r="2253" spans="1:15" ht="15.95" customHeight="1" x14ac:dyDescent="0.25">
      <c r="A2253" s="121"/>
      <c r="B2253" s="26"/>
      <c r="C2253" s="27"/>
      <c r="D2253" s="27"/>
      <c r="E2253" s="27"/>
      <c r="F2253" s="481"/>
      <c r="G2253" s="486"/>
      <c r="H2253" s="27"/>
      <c r="I2253" s="27"/>
      <c r="J2253" s="27"/>
      <c r="K2253" s="27"/>
      <c r="L2253" s="27"/>
      <c r="M2253" s="27"/>
      <c r="N2253" s="28"/>
      <c r="O2253" s="195"/>
    </row>
    <row r="2254" spans="1:15" ht="15.95" customHeight="1" x14ac:dyDescent="0.25">
      <c r="A2254" s="121"/>
      <c r="B2254" s="635" t="s">
        <v>364</v>
      </c>
      <c r="C2254" s="636"/>
      <c r="D2254" s="636"/>
      <c r="E2254" s="636"/>
      <c r="F2254" s="636"/>
      <c r="G2254" s="636"/>
      <c r="H2254" s="636"/>
      <c r="I2254" s="636"/>
      <c r="J2254" s="636"/>
      <c r="K2254" s="636"/>
      <c r="L2254" s="636"/>
      <c r="M2254" s="636"/>
      <c r="N2254" s="637"/>
      <c r="O2254" s="195"/>
    </row>
    <row r="2255" spans="1:15" ht="15.95" customHeight="1" x14ac:dyDescent="0.25">
      <c r="A2255" s="121"/>
      <c r="B2255" s="23"/>
      <c r="C2255" s="24"/>
      <c r="D2255" s="24"/>
      <c r="E2255" s="24"/>
      <c r="F2255" s="483"/>
      <c r="G2255" s="484"/>
      <c r="H2255" s="31"/>
      <c r="I2255" s="31"/>
      <c r="J2255" s="24"/>
      <c r="K2255" s="24"/>
      <c r="L2255" s="24"/>
      <c r="M2255" s="24"/>
      <c r="N2255" s="25"/>
      <c r="O2255" s="195"/>
    </row>
    <row r="2256" spans="1:15" ht="15.95" customHeight="1" x14ac:dyDescent="0.25">
      <c r="A2256" s="121"/>
      <c r="B2256" s="23"/>
      <c r="C2256" s="638" t="s">
        <v>37</v>
      </c>
      <c r="D2256" s="639"/>
      <c r="E2256" s="640"/>
      <c r="F2256" s="483"/>
      <c r="G2256" s="484"/>
      <c r="H2256" s="641" t="s">
        <v>28</v>
      </c>
      <c r="I2256" s="642"/>
      <c r="J2256" s="39">
        <f>+$D$2275-SUMIF($H$2263:$H$2272,"&lt;"&amp;$M$4,$K$2263:$K$2272)</f>
        <v>0</v>
      </c>
      <c r="K2256" s="24"/>
      <c r="L2256" s="24"/>
      <c r="M2256" s="24"/>
      <c r="N2256" s="25"/>
      <c r="O2256" s="195"/>
    </row>
    <row r="2257" spans="1:17" ht="15.95" customHeight="1" x14ac:dyDescent="0.25">
      <c r="A2257" s="121"/>
      <c r="B2257" s="23"/>
      <c r="C2257" s="58"/>
      <c r="D2257" s="664"/>
      <c r="E2257" s="665"/>
      <c r="F2257" s="483"/>
      <c r="G2257" s="484"/>
      <c r="H2257" s="645" t="s">
        <v>29</v>
      </c>
      <c r="I2257" s="646"/>
      <c r="J2257" s="40">
        <f>+$D$2274</f>
        <v>45347</v>
      </c>
      <c r="K2257" s="24"/>
      <c r="L2257" s="24"/>
      <c r="M2257" s="24"/>
      <c r="N2257" s="25"/>
      <c r="O2257" s="195"/>
    </row>
    <row r="2258" spans="1:17" ht="15.95" customHeight="1" x14ac:dyDescent="0.25">
      <c r="A2258" s="121"/>
      <c r="B2258" s="23"/>
      <c r="C2258" s="59" t="s">
        <v>25</v>
      </c>
      <c r="D2258" s="658"/>
      <c r="E2258" s="659"/>
      <c r="F2258" s="483"/>
      <c r="G2258" s="484"/>
      <c r="H2258" s="649" t="s">
        <v>30</v>
      </c>
      <c r="I2258" s="650"/>
      <c r="J2258" s="42" t="str">
        <f t="array" ref="J2258">+IF(H2271&gt;=$M$4,MIN(IF(H2262:H2272&gt;=$M$4,H2262:H2272,"")),"vencida")</f>
        <v>vencida</v>
      </c>
      <c r="K2258" s="24"/>
      <c r="L2258" s="24"/>
      <c r="M2258" s="24"/>
      <c r="N2258" s="25"/>
      <c r="O2258" s="195"/>
    </row>
    <row r="2259" spans="1:17" ht="15.95" customHeight="1" x14ac:dyDescent="0.25">
      <c r="A2259" s="121"/>
      <c r="B2259" s="23"/>
      <c r="C2259" s="59" t="s">
        <v>6</v>
      </c>
      <c r="D2259" s="658" t="s">
        <v>186</v>
      </c>
      <c r="E2259" s="659"/>
      <c r="F2259" s="483"/>
      <c r="G2259" s="484"/>
      <c r="H2259" s="24"/>
      <c r="I2259" s="24"/>
      <c r="J2259" s="24"/>
      <c r="K2259" s="24"/>
      <c r="L2259" s="24"/>
      <c r="M2259" s="24"/>
      <c r="N2259" s="25"/>
      <c r="O2259" s="195"/>
    </row>
    <row r="2260" spans="1:17" ht="15.95" customHeight="1" x14ac:dyDescent="0.25">
      <c r="A2260" s="121"/>
      <c r="B2260" s="23"/>
      <c r="C2260" s="59" t="s">
        <v>8</v>
      </c>
      <c r="D2260" s="658" t="s">
        <v>17</v>
      </c>
      <c r="E2260" s="659"/>
      <c r="F2260" s="483"/>
      <c r="G2260" s="484"/>
      <c r="H2260" s="651" t="s">
        <v>41</v>
      </c>
      <c r="I2260" s="652"/>
      <c r="J2260" s="652"/>
      <c r="K2260" s="652"/>
      <c r="L2260" s="653"/>
      <c r="M2260" s="24"/>
      <c r="N2260" s="25"/>
      <c r="O2260" s="195"/>
    </row>
    <row r="2261" spans="1:17" ht="15.95" customHeight="1" x14ac:dyDescent="0.25">
      <c r="A2261" s="121"/>
      <c r="B2261" s="23"/>
      <c r="C2261" s="59" t="s">
        <v>33</v>
      </c>
      <c r="D2261" s="73" t="s">
        <v>313</v>
      </c>
      <c r="E2261" s="273">
        <v>0.6</v>
      </c>
      <c r="F2261" s="483">
        <f>+E2261*$J$2256</f>
        <v>0</v>
      </c>
      <c r="G2261" s="484"/>
      <c r="H2261" s="81" t="s">
        <v>0</v>
      </c>
      <c r="I2261" s="82" t="s">
        <v>2</v>
      </c>
      <c r="J2261" s="82" t="s">
        <v>3</v>
      </c>
      <c r="K2261" s="82" t="s">
        <v>4</v>
      </c>
      <c r="L2261" s="83" t="s">
        <v>5</v>
      </c>
      <c r="M2261" s="83" t="s">
        <v>44</v>
      </c>
      <c r="N2261" s="25"/>
      <c r="O2261" s="195"/>
    </row>
    <row r="2262" spans="1:17" ht="20.100000000000001" customHeight="1" x14ac:dyDescent="0.25">
      <c r="A2262" s="121"/>
      <c r="B2262" s="23"/>
      <c r="C2262" s="278" t="s">
        <v>33</v>
      </c>
      <c r="D2262" s="73" t="s">
        <v>319</v>
      </c>
      <c r="E2262" s="273">
        <v>0.4</v>
      </c>
      <c r="F2262" s="483">
        <f>+E2262*$J$2256</f>
        <v>0</v>
      </c>
      <c r="G2262" s="484"/>
      <c r="H2262" s="45"/>
      <c r="I2262" s="46"/>
      <c r="J2262" s="46"/>
      <c r="K2262" s="46"/>
      <c r="L2262" s="47"/>
      <c r="M2262" s="101"/>
      <c r="N2262" s="25"/>
      <c r="O2262" s="195"/>
    </row>
    <row r="2263" spans="1:17" ht="15.95" customHeight="1" x14ac:dyDescent="0.25">
      <c r="A2263" s="121"/>
      <c r="B2263" s="23"/>
      <c r="C2263" s="59" t="s">
        <v>34</v>
      </c>
      <c r="D2263" s="658" t="s">
        <v>223</v>
      </c>
      <c r="E2263" s="659"/>
      <c r="F2263" s="483"/>
      <c r="G2263" s="484"/>
      <c r="H2263" s="48">
        <f>+$D$2273</f>
        <v>44617</v>
      </c>
      <c r="I2263" s="70"/>
      <c r="J2263" s="49"/>
      <c r="K2263" s="49"/>
      <c r="L2263" s="50">
        <f>+D2275</f>
        <v>50000000</v>
      </c>
      <c r="M2263" s="102">
        <f>-L2263</f>
        <v>-50000000</v>
      </c>
      <c r="N2263" s="25"/>
      <c r="O2263" s="195"/>
    </row>
    <row r="2264" spans="1:17" ht="15.95" customHeight="1" x14ac:dyDescent="0.25">
      <c r="A2264" s="121"/>
      <c r="B2264" s="23"/>
      <c r="C2264" s="79" t="s">
        <v>38</v>
      </c>
      <c r="D2264" s="75"/>
      <c r="E2264" s="76"/>
      <c r="F2264" s="483"/>
      <c r="G2264" s="484"/>
      <c r="H2264" s="51">
        <v>44706</v>
      </c>
      <c r="I2264" s="71" t="s">
        <v>7</v>
      </c>
      <c r="J2264" s="52">
        <f>(IF(AND($D$2279&lt;&gt;"",$D$2279&gt;(AVERAGE(VLOOKUP(WORKDAY.INTL(H2264,-7,1,),'Tasas-TC'!A:B,2,FALSE),VLOOKUP(WORKDAY.INTL(H2263,-7,1,),'Tasas-TC'!A:B,2,FALSE))+$D$2278)),$D$2279,IF(AND($D$2280&lt;&gt;"",$D$2280&lt;(AVERAGE(VLOOKUP(WORKDAY.INTL(H2264,-7,1,),'Tasas-TC'!A:B,2,FALSE),VLOOKUP(WORKDAY.INTL(H2263,-7,1,),'Tasas-TC'!A:B,2,FALSE))+$D$2278)),$D$2108,(AVERAGE(VLOOKUP(WORKDAY.INTL(H2264,-7,1,),'Tasas-TC'!A:B,2,FALSE),VLOOKUP(WORKDAY.INTL(H2263,-7,1,),'Tasas-TC'!A:B,2,FALSE))+$D$2278)))/360)*(H2264-H2263)*L2263</f>
        <v>5771093.75</v>
      </c>
      <c r="K2264" s="52">
        <f t="shared" ref="K2264:K2271" si="218">+IF(OR(I2264="A + C",I2264="A"),$D$2275*$D$2281,0)</f>
        <v>0</v>
      </c>
      <c r="L2264" s="53">
        <f>+L2263-K2264</f>
        <v>50000000</v>
      </c>
      <c r="M2264" s="103">
        <f>+J2264+K2264</f>
        <v>5771093.75</v>
      </c>
      <c r="N2264" s="25"/>
      <c r="O2264" s="194" t="str">
        <f>+D2412</f>
        <v>ON Pyme CNV Garantizada</v>
      </c>
    </row>
    <row r="2265" spans="1:17" ht="15.95" customHeight="1" x14ac:dyDescent="0.25">
      <c r="A2265" s="121"/>
      <c r="B2265" s="23"/>
      <c r="C2265" s="59"/>
      <c r="D2265" s="399" t="s">
        <v>40</v>
      </c>
      <c r="E2265" s="271"/>
      <c r="F2265" s="483"/>
      <c r="G2265" s="484"/>
      <c r="H2265" s="51">
        <v>44798</v>
      </c>
      <c r="I2265" s="71" t="s">
        <v>7</v>
      </c>
      <c r="J2265" s="52">
        <f>(IF(AND($D$2279&lt;&gt;"",$D$2279&gt;(AVERAGE(VLOOKUP(WORKDAY.INTL(H2265,-7,1,),'Tasas-TC'!A:B,2,FALSE),VLOOKUP(WORKDAY.INTL(H2264,-7,1,),'Tasas-TC'!A:B,2,FALSE))+$D$2278)),$D$2279,IF(AND($D$2280&lt;&gt;"",$D$2280&lt;(AVERAGE(VLOOKUP(WORKDAY.INTL(H2265,-7,1,),'Tasas-TC'!A:B,2,FALSE),VLOOKUP(WORKDAY.INTL(H2264,-7,1,),'Tasas-TC'!A:B,2,FALSE))+$D$2278)),$D$2108,(AVERAGE(VLOOKUP(WORKDAY.INTL(H2265,-7,1,),'Tasas-TC'!A:B,2,FALSE),VLOOKUP(WORKDAY.INTL(H2264,-7,1,),'Tasas-TC'!A:B,2,FALSE))+$D$2278)))/360)*(H2265-H2264)*L2264</f>
        <v>7630729.166666667</v>
      </c>
      <c r="K2265" s="52">
        <f t="shared" si="218"/>
        <v>0</v>
      </c>
      <c r="L2265" s="53">
        <f>+L2264-K2265</f>
        <v>50000000</v>
      </c>
      <c r="M2265" s="103">
        <f>+J2265+K2265</f>
        <v>7630729.166666667</v>
      </c>
      <c r="N2265" s="25"/>
      <c r="O2265" s="195"/>
    </row>
    <row r="2266" spans="1:17" ht="15.95" customHeight="1" x14ac:dyDescent="0.25">
      <c r="A2266" s="121"/>
      <c r="B2266" s="23"/>
      <c r="C2266" s="59"/>
      <c r="D2266" s="399"/>
      <c r="E2266" s="271"/>
      <c r="F2266" s="483"/>
      <c r="G2266" s="484"/>
      <c r="H2266" s="51">
        <v>44890</v>
      </c>
      <c r="I2266" s="71" t="s">
        <v>7</v>
      </c>
      <c r="J2266" s="52">
        <f>(IF(AND($D$2279&lt;&gt;"",$D$2279&gt;(AVERAGE(VLOOKUP(WORKDAY.INTL(H2266,-7,1,),'Tasas-TC'!A:B,2,FALSE),VLOOKUP(WORKDAY.INTL(H2265,-7,1,),'Tasas-TC'!A:B,2,FALSE))+$D$2278)),$D$2279,IF(AND($D$2280&lt;&gt;"",$D$2280&lt;(AVERAGE(VLOOKUP(WORKDAY.INTL(H2266,-7,1,),'Tasas-TC'!A:B,2,FALSE),VLOOKUP(WORKDAY.INTL(H2265,-7,1,),'Tasas-TC'!A:B,2,FALSE))+$D$2278)),$D$2108,(AVERAGE(VLOOKUP(WORKDAY.INTL(H2266,-7,1,),'Tasas-TC'!A:B,2,FALSE),VLOOKUP(WORKDAY.INTL(H2265,-7,1,),'Tasas-TC'!A:B,2,FALSE))+$D$2278)))/360)*(H2266-H2265)*L2265</f>
        <v>9192013.8888888899</v>
      </c>
      <c r="K2266" s="52">
        <f t="shared" si="218"/>
        <v>0</v>
      </c>
      <c r="L2266" s="53">
        <f>+L2265-K2266</f>
        <v>50000000</v>
      </c>
      <c r="M2266" s="103">
        <f>+J2266+K2266</f>
        <v>9192013.8888888899</v>
      </c>
      <c r="N2266" s="25"/>
      <c r="O2266" s="194" t="str">
        <f>+IF(J2410="vencida",IF(D2412='Reporte - Oscuro'!$C$40,'Reporte - Oscuro'!$C$40&amp;" vencida",IF(D2412='Reporte - Oscuro'!$C$41,'Reporte - Oscuro'!$C$41&amp;" vencida",IF(D2412='Reporte - Oscuro'!$C$42,'Reporte - Oscuro'!$C$42&amp;" vencida",'Reporte - Oscuro'!$C$43&amp;" vencida"))),D2412&amp;" vigente")</f>
        <v>ON Pyme CNV Garantizada vencida</v>
      </c>
    </row>
    <row r="2267" spans="1:17" ht="15.95" customHeight="1" x14ac:dyDescent="0.25">
      <c r="A2267" s="121"/>
      <c r="B2267" s="32"/>
      <c r="C2267" s="60"/>
      <c r="D2267" s="400" t="str">
        <f>+B2254</f>
        <v>Tradimex IV</v>
      </c>
      <c r="E2267" s="401"/>
      <c r="F2267" s="483"/>
      <c r="G2267" s="484">
        <f>+J2256</f>
        <v>0</v>
      </c>
      <c r="H2267" s="51">
        <v>44982</v>
      </c>
      <c r="I2267" s="71" t="s">
        <v>7</v>
      </c>
      <c r="J2267" s="52">
        <f>(IF(AND($D$2279&lt;&gt;"",$D$2279&gt;(AVERAGE(VLOOKUP(WORKDAY.INTL(H2267,-7,1,),'Tasas-TC'!A:B,2,FALSE),VLOOKUP(WORKDAY.INTL(H2266,-7,1,),'Tasas-TC'!A:B,2,FALSE))+$D$2278)),$D$2279,IF(AND($D$2280&lt;&gt;"",$D$2280&lt;(AVERAGE(VLOOKUP(WORKDAY.INTL(H2267,-7,1,),'Tasas-TC'!A:B,2,FALSE),VLOOKUP(WORKDAY.INTL(H2266,-7,1,),'Tasas-TC'!A:B,2,FALSE))+$D$2278)),$D$2108,(AVERAGE(VLOOKUP(WORKDAY.INTL(H2267,-7,1,),'Tasas-TC'!A:B,2,FALSE),VLOOKUP(WORKDAY.INTL(H2266,-7,1,),'Tasas-TC'!A:B,2,FALSE))+$D$2278)))/360)*(H2267-H2266)*L2266</f>
        <v>9583333.3333333321</v>
      </c>
      <c r="K2267" s="52">
        <f t="shared" si="218"/>
        <v>0</v>
      </c>
      <c r="L2267" s="53">
        <f>+L2266-K2267</f>
        <v>50000000</v>
      </c>
      <c r="M2267" s="103">
        <f>+J2267+K2267</f>
        <v>9583333.3333333321</v>
      </c>
      <c r="N2267" s="25"/>
      <c r="O2267" s="195"/>
    </row>
    <row r="2268" spans="1:17" ht="15.95" customHeight="1" x14ac:dyDescent="0.25">
      <c r="A2268" s="121"/>
      <c r="B2268" s="32"/>
      <c r="C2268" s="150"/>
      <c r="D2268" s="272"/>
      <c r="E2268" s="272"/>
      <c r="F2268" s="483"/>
      <c r="G2268" s="484"/>
      <c r="H2268" s="51">
        <v>45071</v>
      </c>
      <c r="I2268" s="71" t="s">
        <v>7</v>
      </c>
      <c r="J2268" s="52">
        <f>(IF(AND($D$2279&lt;&gt;"",$D$2279&gt;(AVERAGE(VLOOKUP(WORKDAY.INTL(H2268,-7,1,),'Tasas-TC'!A:B,2,FALSE),VLOOKUP(WORKDAY.INTL(H2267,-7,1,),'Tasas-TC'!A:B,2,FALSE))+$D$2278)),$D$2279,IF(AND($D$2280&lt;&gt;"",$D$2280&lt;(AVERAGE(VLOOKUP(WORKDAY.INTL(H2268,-7,1,),'Tasas-TC'!A:B,2,FALSE),VLOOKUP(WORKDAY.INTL(H2267,-7,1,),'Tasas-TC'!A:B,2,FALSE))+$D$2278)),$D$2108,(AVERAGE(VLOOKUP(WORKDAY.INTL(H2268,-7,1,),'Tasas-TC'!A:B,2,FALSE),VLOOKUP(WORKDAY.INTL(H2267,-7,1,),'Tasas-TC'!A:B,2,FALSE))+$D$2278)))/360)*(H2268-H2267)*L2267</f>
        <v>10379470.486111112</v>
      </c>
      <c r="K2268" s="52">
        <f t="shared" si="218"/>
        <v>0</v>
      </c>
      <c r="L2268" s="53">
        <f t="shared" ref="L2268:L2271" si="219">+L2267-K2268</f>
        <v>50000000</v>
      </c>
      <c r="M2268" s="103">
        <f t="shared" ref="M2268:M2271" si="220">+J2268+K2268</f>
        <v>10379470.486111112</v>
      </c>
      <c r="N2268" s="25"/>
      <c r="O2268" s="195"/>
    </row>
    <row r="2269" spans="1:17" ht="15.95" customHeight="1" x14ac:dyDescent="0.25">
      <c r="A2269" s="121"/>
      <c r="B2269" s="32"/>
      <c r="C2269" s="638" t="s">
        <v>36</v>
      </c>
      <c r="D2269" s="640"/>
      <c r="E2269" s="272"/>
      <c r="F2269" s="483"/>
      <c r="G2269" s="484"/>
      <c r="H2269" s="51">
        <v>45163</v>
      </c>
      <c r="I2269" s="71" t="s">
        <v>7</v>
      </c>
      <c r="J2269" s="52">
        <f>(IF(AND($D$2279&lt;&gt;"",$D$2279&gt;(AVERAGE(VLOOKUP(WORKDAY.INTL(H2269,-7,1,),'Tasas-TC'!A:B,2,FALSE),VLOOKUP(WORKDAY.INTL(H2268,-7,1,),'Tasas-TC'!A:B,2,FALSE))+$D$2278)),$D$2279,IF(AND($D$2280&lt;&gt;"",$D$2280&lt;(AVERAGE(VLOOKUP(WORKDAY.INTL(H2269,-7,1,),'Tasas-TC'!A:B,2,FALSE),VLOOKUP(WORKDAY.INTL(H2268,-7,1,),'Tasas-TC'!A:B,2,FALSE))+$D$2278)),$D$2108,(AVERAGE(VLOOKUP(WORKDAY.INTL(H2269,-7,1,),'Tasas-TC'!A:B,2,FALSE),VLOOKUP(WORKDAY.INTL(H2268,-7,1,),'Tasas-TC'!A:B,2,FALSE))+$D$2278)))/360)*(H2269-H2268)*L2268</f>
        <v>12214756.944444446</v>
      </c>
      <c r="K2269" s="52">
        <f t="shared" si="218"/>
        <v>0</v>
      </c>
      <c r="L2269" s="53">
        <f t="shared" si="219"/>
        <v>50000000</v>
      </c>
      <c r="M2269" s="103">
        <f t="shared" si="220"/>
        <v>12214756.944444446</v>
      </c>
      <c r="N2269" s="25"/>
      <c r="O2269" s="195"/>
    </row>
    <row r="2270" spans="1:17" ht="15.95" customHeight="1" x14ac:dyDescent="0.25">
      <c r="A2270" s="121"/>
      <c r="B2270" s="32"/>
      <c r="C2270" s="59"/>
      <c r="D2270" s="62"/>
      <c r="E2270" s="272"/>
      <c r="F2270" s="483"/>
      <c r="G2270" s="484"/>
      <c r="H2270" s="51">
        <v>45255</v>
      </c>
      <c r="I2270" s="71" t="s">
        <v>7</v>
      </c>
      <c r="J2270" s="52">
        <f>(IF(AND($D$2279&lt;&gt;"",$D$2279&gt;(AVERAGE(VLOOKUP(WORKDAY.INTL(H2270,-7,1,),'Tasas-TC'!A:B,2,FALSE),VLOOKUP(WORKDAY.INTL(H2269,-7,1,),'Tasas-TC'!A:B,2,FALSE))+$D$2278)),$D$2279,IF(AND($D$2280&lt;&gt;"",$D$2280&lt;(AVERAGE(VLOOKUP(WORKDAY.INTL(H2270,-7,1,),'Tasas-TC'!A:B,2,FALSE),VLOOKUP(WORKDAY.INTL(H2269,-7,1,),'Tasas-TC'!A:B,2,FALSE))+$D$2278)),$D$2108,(AVERAGE(VLOOKUP(WORKDAY.INTL(H2270,-7,1,),'Tasas-TC'!A:B,2,FALSE),VLOOKUP(WORKDAY.INTL(H2269,-7,1,),'Tasas-TC'!A:B,2,FALSE))+$D$2278)))/360)*(H2270-H2269)*L2269</f>
        <v>14886111.111111112</v>
      </c>
      <c r="K2270" s="52">
        <f t="shared" si="218"/>
        <v>0</v>
      </c>
      <c r="L2270" s="53">
        <f t="shared" si="219"/>
        <v>50000000</v>
      </c>
      <c r="M2270" s="103">
        <f t="shared" si="220"/>
        <v>14886111.111111112</v>
      </c>
      <c r="N2270" s="25"/>
      <c r="O2270" s="195"/>
    </row>
    <row r="2271" spans="1:17" ht="15.95" customHeight="1" x14ac:dyDescent="0.25">
      <c r="A2271" s="121"/>
      <c r="B2271" s="32"/>
      <c r="C2271" s="59" t="s">
        <v>9</v>
      </c>
      <c r="D2271" s="98" t="s">
        <v>18</v>
      </c>
      <c r="E2271" s="272"/>
      <c r="F2271" s="483"/>
      <c r="G2271" s="484"/>
      <c r="H2271" s="51">
        <v>45347</v>
      </c>
      <c r="I2271" s="71" t="s">
        <v>13</v>
      </c>
      <c r="J2271" s="52">
        <f>(IF(AND($D$2279&lt;&gt;"",$D$2279&gt;(AVERAGE(VLOOKUP(WORKDAY.INTL(H2271,-7,1,),'Tasas-TC'!A:B,2,FALSE),VLOOKUP(WORKDAY.INTL(H2270,-7,1,),'Tasas-TC'!A:B,2,FALSE))+$D$2278)),$D$2279,IF(AND($D$2280&lt;&gt;"",$D$2280&lt;(AVERAGE(VLOOKUP(WORKDAY.INTL(H2271,-7,1,),'Tasas-TC'!A:B,2,FALSE),VLOOKUP(WORKDAY.INTL(H2270,-7,1,),'Tasas-TC'!A:B,2,FALSE))+$D$2278)),$D$2108,(AVERAGE(VLOOKUP(WORKDAY.INTL(H2271,-7,1,),'Tasas-TC'!A:B,2,FALSE),VLOOKUP(WORKDAY.INTL(H2270,-7,1,),'Tasas-TC'!A:B,2,FALSE))+$D$2278)))/360)*(H2271-H2270)*L2270</f>
        <v>15928298.611111114</v>
      </c>
      <c r="K2271" s="52">
        <f t="shared" si="218"/>
        <v>50000000</v>
      </c>
      <c r="L2271" s="53">
        <f t="shared" si="219"/>
        <v>0</v>
      </c>
      <c r="M2271" s="103">
        <f t="shared" si="220"/>
        <v>65928298.611111112</v>
      </c>
      <c r="N2271" s="25"/>
      <c r="O2271" s="197">
        <f>+M2415</f>
        <v>-3000000</v>
      </c>
      <c r="P2271" s="197">
        <f>-M2415</f>
        <v>3000000</v>
      </c>
      <c r="Q2271" s="197"/>
    </row>
    <row r="2272" spans="1:17" ht="15.95" customHeight="1" x14ac:dyDescent="0.25">
      <c r="A2272" s="121"/>
      <c r="B2272" s="23"/>
      <c r="C2272" s="59" t="s">
        <v>10</v>
      </c>
      <c r="D2272" s="65">
        <v>44615</v>
      </c>
      <c r="E2272" s="272"/>
      <c r="F2272" s="483"/>
      <c r="G2272" s="484"/>
      <c r="H2272" s="54"/>
      <c r="I2272" s="104"/>
      <c r="J2272" s="105"/>
      <c r="K2272" s="105"/>
      <c r="L2272" s="106"/>
      <c r="M2272" s="402"/>
      <c r="N2272" s="25"/>
      <c r="O2272" s="197">
        <f t="shared" ref="O2272:O2277" si="221">+M2416+O2271</f>
        <v>-2227588.6458333335</v>
      </c>
      <c r="P2272" s="197">
        <f t="shared" ref="P2272:P2277" si="222">+(M2416/(1+$J$2425)^((H2416-$H$2415)/365))/$P$2271</f>
        <v>0.25747045138888885</v>
      </c>
      <c r="Q2272" s="197">
        <f t="shared" ref="Q2272:Q2277" si="223">+P2272*((H2416-$H$2415)/365)</f>
        <v>6.4191263222983255E-2</v>
      </c>
    </row>
    <row r="2273" spans="1:17" ht="15.95" customHeight="1" x14ac:dyDescent="0.25">
      <c r="A2273" s="121"/>
      <c r="B2273" s="23"/>
      <c r="C2273" s="59" t="s">
        <v>11</v>
      </c>
      <c r="D2273" s="65">
        <v>44617</v>
      </c>
      <c r="E2273" s="36"/>
      <c r="F2273" s="483"/>
      <c r="G2273" s="484"/>
      <c r="H2273" s="109"/>
      <c r="I2273" s="109"/>
      <c r="J2273" s="109"/>
      <c r="K2273" s="109"/>
      <c r="L2273" s="109"/>
      <c r="M2273" s="109"/>
      <c r="N2273" s="25"/>
      <c r="O2273" s="197">
        <f t="shared" si="221"/>
        <v>-1527454.1307708335</v>
      </c>
      <c r="P2273" s="197">
        <f t="shared" si="222"/>
        <v>0.2333781716875</v>
      </c>
      <c r="Q2273" s="197">
        <f t="shared" si="223"/>
        <v>0.11636938971815068</v>
      </c>
    </row>
    <row r="2274" spans="1:17" ht="15.95" customHeight="1" x14ac:dyDescent="0.25">
      <c r="A2274" s="121"/>
      <c r="B2274" s="23"/>
      <c r="C2274" s="59" t="s">
        <v>12</v>
      </c>
      <c r="D2274" s="65">
        <v>45347</v>
      </c>
      <c r="E2274" s="36"/>
      <c r="F2274" s="483"/>
      <c r="G2274" s="484"/>
      <c r="H2274" s="656" t="s">
        <v>43</v>
      </c>
      <c r="I2274" s="656"/>
      <c r="J2274" s="92">
        <f>+J2256+(L2271*($P$4+D2278)*($M$4-H2271)/365)</f>
        <v>0</v>
      </c>
      <c r="K2274" s="92"/>
      <c r="L2274" s="24"/>
      <c r="M2274" s="24"/>
      <c r="N2274" s="25"/>
      <c r="O2274" s="197">
        <f t="shared" si="221"/>
        <v>-845336.62343750009</v>
      </c>
      <c r="P2274" s="197">
        <f t="shared" si="222"/>
        <v>0.22737250244444446</v>
      </c>
      <c r="Q2274" s="197">
        <f t="shared" si="223"/>
        <v>0.17068511142404871</v>
      </c>
    </row>
    <row r="2275" spans="1:17" ht="15.95" customHeight="1" x14ac:dyDescent="0.25">
      <c r="A2275" s="121"/>
      <c r="B2275" s="23"/>
      <c r="C2275" s="59" t="s">
        <v>27</v>
      </c>
      <c r="D2275" s="66">
        <v>50000000</v>
      </c>
      <c r="E2275" s="36"/>
      <c r="F2275" s="483"/>
      <c r="G2275" s="484"/>
      <c r="H2275" s="657"/>
      <c r="I2275" s="657"/>
      <c r="J2275" s="33"/>
      <c r="K2275" s="24"/>
      <c r="L2275" s="33"/>
      <c r="M2275" s="33"/>
      <c r="N2275" s="25"/>
      <c r="O2275" s="197">
        <f t="shared" si="221"/>
        <v>-199497.68981250015</v>
      </c>
      <c r="P2275" s="197">
        <f t="shared" si="222"/>
        <v>0.21527964454166665</v>
      </c>
      <c r="Q2275" s="197">
        <f t="shared" si="223"/>
        <v>0.2158694517869863</v>
      </c>
    </row>
    <row r="2276" spans="1:17" ht="15.95" customHeight="1" x14ac:dyDescent="0.25">
      <c r="A2276" s="121"/>
      <c r="B2276" s="23"/>
      <c r="C2276" s="59" t="s">
        <v>26</v>
      </c>
      <c r="D2276" s="66">
        <v>3</v>
      </c>
      <c r="E2276" s="36"/>
      <c r="F2276" s="483"/>
      <c r="G2276" s="484"/>
      <c r="H2276" s="24"/>
      <c r="I2276" s="24"/>
      <c r="J2276" s="24"/>
      <c r="K2276" s="24"/>
      <c r="L2276" s="24"/>
      <c r="M2276" s="24"/>
      <c r="N2276" s="25"/>
      <c r="O2276" s="197">
        <f t="shared" si="221"/>
        <v>401041.14393749984</v>
      </c>
      <c r="P2276" s="197">
        <f t="shared" si="222"/>
        <v>0.20017961125</v>
      </c>
      <c r="Q2276" s="197">
        <f t="shared" si="223"/>
        <v>0.25008740473972602</v>
      </c>
    </row>
    <row r="2277" spans="1:17" ht="15.95" customHeight="1" x14ac:dyDescent="0.25">
      <c r="A2277" s="121"/>
      <c r="B2277" s="23"/>
      <c r="C2277" s="59" t="s">
        <v>19</v>
      </c>
      <c r="D2277" s="67" t="s">
        <v>20</v>
      </c>
      <c r="E2277" s="36"/>
      <c r="F2277" s="483"/>
      <c r="G2277" s="484"/>
      <c r="H2277" s="638" t="s">
        <v>44</v>
      </c>
      <c r="I2277" s="639"/>
      <c r="J2277" s="639"/>
      <c r="K2277" s="639"/>
      <c r="L2277" s="639"/>
      <c r="M2277" s="640"/>
      <c r="N2277" s="25"/>
      <c r="O2277" s="197">
        <f t="shared" si="221"/>
        <v>951839.54547916644</v>
      </c>
      <c r="P2277" s="197">
        <f t="shared" si="222"/>
        <v>0.18359946718055553</v>
      </c>
      <c r="Q2277" s="197">
        <f t="shared" si="223"/>
        <v>0.27514769465140787</v>
      </c>
    </row>
    <row r="2278" spans="1:17" ht="15.95" customHeight="1" x14ac:dyDescent="0.25">
      <c r="A2278" s="121"/>
      <c r="B2278" s="23"/>
      <c r="C2278" s="59" t="s">
        <v>14</v>
      </c>
      <c r="D2278" s="68">
        <v>0.05</v>
      </c>
      <c r="E2278" s="36"/>
      <c r="F2278" s="480"/>
      <c r="G2278" s="484"/>
      <c r="H2278" s="23"/>
      <c r="I2278" s="24"/>
      <c r="J2278" s="24"/>
      <c r="K2278" s="24"/>
      <c r="L2278" s="24"/>
      <c r="M2278" s="25"/>
      <c r="N2278" s="25"/>
      <c r="O2278" s="197"/>
      <c r="P2278" s="29"/>
    </row>
    <row r="2279" spans="1:17" ht="15.95" customHeight="1" x14ac:dyDescent="0.25">
      <c r="A2279" s="121"/>
      <c r="B2279" s="23"/>
      <c r="C2279" s="59" t="s">
        <v>31</v>
      </c>
      <c r="D2279" s="68"/>
      <c r="E2279" s="41"/>
      <c r="F2279" s="480"/>
      <c r="G2279" s="484"/>
      <c r="H2279" s="23"/>
      <c r="I2279" s="24"/>
      <c r="J2279" s="24"/>
      <c r="K2279" s="24"/>
      <c r="L2279" s="24"/>
      <c r="M2279" s="25"/>
      <c r="N2279" s="25"/>
      <c r="O2279" s="197"/>
      <c r="P2279" s="29"/>
    </row>
    <row r="2280" spans="1:17" ht="15.95" customHeight="1" x14ac:dyDescent="0.25">
      <c r="A2280" s="121"/>
      <c r="B2280" s="23"/>
      <c r="C2280" s="59" t="s">
        <v>32</v>
      </c>
      <c r="D2280" s="68"/>
      <c r="E2280" s="36"/>
      <c r="F2280" s="480"/>
      <c r="G2280" s="484"/>
      <c r="H2280" s="96"/>
      <c r="I2280" s="35"/>
      <c r="J2280" s="24"/>
      <c r="K2280" s="24"/>
      <c r="L2280" s="24"/>
      <c r="M2280" s="25"/>
      <c r="N2280" s="25"/>
      <c r="O2280" s="195"/>
      <c r="P2280" s="29"/>
    </row>
    <row r="2281" spans="1:17" ht="15.95" customHeight="1" x14ac:dyDescent="0.25">
      <c r="A2281" s="121"/>
      <c r="B2281" s="23"/>
      <c r="C2281" s="59" t="s">
        <v>78</v>
      </c>
      <c r="D2281" s="68">
        <v>1</v>
      </c>
      <c r="E2281" s="43"/>
      <c r="F2281" s="480"/>
      <c r="G2281" s="484"/>
      <c r="H2281" s="23"/>
      <c r="I2281" s="24"/>
      <c r="J2281" s="24"/>
      <c r="K2281" s="24"/>
      <c r="L2281" s="24"/>
      <c r="M2281" s="25"/>
      <c r="N2281" s="25"/>
      <c r="O2281" s="195"/>
    </row>
    <row r="2282" spans="1:17" ht="15.95" customHeight="1" x14ac:dyDescent="0.25">
      <c r="A2282" s="121"/>
      <c r="B2282" s="23"/>
      <c r="C2282" s="60"/>
      <c r="D2282" s="110"/>
      <c r="E2282" s="43"/>
      <c r="F2282" s="480"/>
      <c r="G2282" s="484"/>
      <c r="H2282" s="23"/>
      <c r="I2282" s="24"/>
      <c r="J2282" s="24"/>
      <c r="K2282" s="24"/>
      <c r="L2282" s="24"/>
      <c r="M2282" s="25"/>
      <c r="N2282" s="25"/>
      <c r="O2282" s="195"/>
      <c r="P2282" s="37"/>
    </row>
    <row r="2283" spans="1:17" ht="15.95" customHeight="1" x14ac:dyDescent="0.25">
      <c r="A2283" s="121"/>
      <c r="B2283" s="23"/>
      <c r="E2283" s="43"/>
      <c r="F2283" s="480"/>
      <c r="G2283" s="484"/>
      <c r="H2283" s="23"/>
      <c r="I2283" s="24"/>
      <c r="J2283" s="24"/>
      <c r="K2283" s="24"/>
      <c r="L2283" s="24"/>
      <c r="M2283" s="25"/>
      <c r="N2283" s="25"/>
      <c r="O2283" s="195"/>
    </row>
    <row r="2284" spans="1:17" ht="15.95" customHeight="1" x14ac:dyDescent="0.25">
      <c r="A2284" s="121"/>
      <c r="B2284" s="23"/>
      <c r="E2284" s="44"/>
      <c r="F2284" s="480"/>
      <c r="G2284" s="484"/>
      <c r="H2284" s="23"/>
      <c r="I2284" s="24"/>
      <c r="J2284" s="24"/>
      <c r="K2284" s="24"/>
      <c r="L2284" s="24"/>
      <c r="M2284" s="25"/>
      <c r="N2284" s="25"/>
      <c r="O2284" s="195"/>
    </row>
    <row r="2285" spans="1:17" ht="15.95" customHeight="1" x14ac:dyDescent="0.25">
      <c r="A2285" s="121"/>
      <c r="B2285" s="23"/>
      <c r="E2285" s="24"/>
      <c r="F2285" s="480"/>
      <c r="G2285" s="484"/>
      <c r="H2285" s="23"/>
      <c r="I2285" s="24"/>
      <c r="J2285" s="24"/>
      <c r="K2285" s="24"/>
      <c r="L2285" s="24"/>
      <c r="M2285" s="25"/>
      <c r="N2285" s="25"/>
      <c r="O2285" s="195"/>
    </row>
    <row r="2286" spans="1:17" ht="15.95" customHeight="1" x14ac:dyDescent="0.25">
      <c r="A2286" s="121"/>
      <c r="B2286" s="23"/>
      <c r="E2286" s="24"/>
      <c r="F2286" s="480"/>
      <c r="G2286" s="484"/>
      <c r="H2286" s="23"/>
      <c r="I2286" s="24"/>
      <c r="J2286" s="24"/>
      <c r="K2286" s="24"/>
      <c r="L2286" s="24"/>
      <c r="M2286" s="25"/>
      <c r="N2286" s="25"/>
      <c r="O2286" s="195"/>
    </row>
    <row r="2287" spans="1:17" ht="15.95" customHeight="1" x14ac:dyDescent="0.25">
      <c r="A2287" s="121"/>
      <c r="B2287" s="23"/>
      <c r="C2287" s="24"/>
      <c r="D2287" s="24"/>
      <c r="E2287" s="24"/>
      <c r="F2287" s="480"/>
      <c r="G2287" s="485"/>
      <c r="H2287" s="23"/>
      <c r="I2287" s="24"/>
      <c r="J2287" s="24"/>
      <c r="K2287" s="24"/>
      <c r="L2287" s="24"/>
      <c r="M2287" s="25"/>
      <c r="N2287" s="25"/>
      <c r="O2287" s="195"/>
    </row>
    <row r="2288" spans="1:17" ht="15.95" customHeight="1" x14ac:dyDescent="0.25">
      <c r="A2288" s="121"/>
      <c r="B2288" s="23"/>
      <c r="C2288" s="24"/>
      <c r="D2288" s="24"/>
      <c r="E2288" s="24"/>
      <c r="F2288" s="480"/>
      <c r="G2288" s="485"/>
      <c r="H2288" s="23"/>
      <c r="I2288" s="24"/>
      <c r="J2288" s="24"/>
      <c r="K2288" s="24"/>
      <c r="L2288" s="24"/>
      <c r="M2288" s="25"/>
      <c r="N2288" s="25"/>
      <c r="O2288" s="195"/>
    </row>
    <row r="2289" spans="1:15" ht="15.95" customHeight="1" x14ac:dyDescent="0.25">
      <c r="A2289" s="121"/>
      <c r="B2289" s="23"/>
      <c r="C2289" s="24"/>
      <c r="D2289" s="24"/>
      <c r="E2289" s="24"/>
      <c r="F2289" s="480"/>
      <c r="G2289" s="485"/>
      <c r="H2289" s="23"/>
      <c r="I2289" s="24"/>
      <c r="J2289" s="24"/>
      <c r="K2289" s="24"/>
      <c r="L2289" s="24"/>
      <c r="M2289" s="25"/>
      <c r="N2289" s="25"/>
      <c r="O2289" s="195"/>
    </row>
    <row r="2290" spans="1:15" ht="15.95" customHeight="1" x14ac:dyDescent="0.25">
      <c r="A2290" s="121"/>
      <c r="B2290" s="23"/>
      <c r="C2290" s="24"/>
      <c r="D2290" s="24"/>
      <c r="E2290" s="24"/>
      <c r="F2290" s="480"/>
      <c r="G2290" s="485"/>
      <c r="H2290" s="26"/>
      <c r="I2290" s="27"/>
      <c r="J2290" s="27"/>
      <c r="K2290" s="27"/>
      <c r="L2290" s="27"/>
      <c r="M2290" s="28"/>
      <c r="N2290" s="25"/>
      <c r="O2290" s="195"/>
    </row>
    <row r="2291" spans="1:15" ht="15.95" customHeight="1" x14ac:dyDescent="0.25">
      <c r="A2291" s="121"/>
      <c r="B2291" s="26"/>
      <c r="C2291" s="27"/>
      <c r="D2291" s="27"/>
      <c r="E2291" s="27"/>
      <c r="F2291" s="481"/>
      <c r="G2291" s="486"/>
      <c r="H2291" s="27"/>
      <c r="I2291" s="27"/>
      <c r="J2291" s="27"/>
      <c r="K2291" s="27"/>
      <c r="L2291" s="27"/>
      <c r="M2291" s="27"/>
      <c r="N2291" s="28"/>
      <c r="O2291" s="195"/>
    </row>
    <row r="2292" spans="1:15" ht="15.95" customHeight="1" x14ac:dyDescent="0.25">
      <c r="A2292" s="121"/>
      <c r="B2292" s="635" t="s">
        <v>73</v>
      </c>
      <c r="C2292" s="636"/>
      <c r="D2292" s="636"/>
      <c r="E2292" s="636"/>
      <c r="F2292" s="636"/>
      <c r="G2292" s="636"/>
      <c r="H2292" s="636"/>
      <c r="I2292" s="636"/>
      <c r="J2292" s="636"/>
      <c r="K2292" s="636"/>
      <c r="L2292" s="636"/>
      <c r="M2292" s="636"/>
      <c r="N2292" s="637"/>
      <c r="O2292" s="195"/>
    </row>
    <row r="2293" spans="1:15" ht="15.95" customHeight="1" x14ac:dyDescent="0.25">
      <c r="A2293" s="121"/>
      <c r="B2293" s="23"/>
      <c r="C2293" s="24"/>
      <c r="D2293" s="24"/>
      <c r="E2293" s="24"/>
      <c r="F2293" s="483"/>
      <c r="G2293" s="484"/>
      <c r="H2293" s="31"/>
      <c r="I2293" s="31"/>
      <c r="J2293" s="24"/>
      <c r="K2293" s="24"/>
      <c r="L2293" s="24"/>
      <c r="M2293" s="24"/>
      <c r="N2293" s="25"/>
      <c r="O2293" s="195"/>
    </row>
    <row r="2294" spans="1:15" ht="15.95" customHeight="1" x14ac:dyDescent="0.25">
      <c r="A2294" s="121"/>
      <c r="B2294" s="23"/>
      <c r="C2294" s="638" t="s">
        <v>37</v>
      </c>
      <c r="D2294" s="639"/>
      <c r="E2294" s="640"/>
      <c r="F2294" s="483"/>
      <c r="G2294" s="484"/>
      <c r="H2294" s="641" t="s">
        <v>28</v>
      </c>
      <c r="I2294" s="642"/>
      <c r="J2294" s="39">
        <f>+$D$2314-SUMIF($H$2300:$H$2308,"&lt;"&amp;$M$4,$K$2300:$K$2308)</f>
        <v>0</v>
      </c>
      <c r="K2294" s="24"/>
      <c r="L2294" s="24"/>
      <c r="M2294" s="24"/>
      <c r="N2294" s="25"/>
      <c r="O2294" s="195"/>
    </row>
    <row r="2295" spans="1:15" ht="15.95" customHeight="1" x14ac:dyDescent="0.25">
      <c r="A2295" s="121"/>
      <c r="B2295" s="23"/>
      <c r="C2295" s="58"/>
      <c r="D2295" s="664"/>
      <c r="E2295" s="665"/>
      <c r="F2295" s="483"/>
      <c r="G2295" s="484"/>
      <c r="H2295" s="645" t="s">
        <v>29</v>
      </c>
      <c r="I2295" s="646"/>
      <c r="J2295" s="40">
        <f>+$D$2313</f>
        <v>44366</v>
      </c>
      <c r="K2295" s="24"/>
      <c r="L2295" s="24"/>
      <c r="M2295" s="24"/>
      <c r="N2295" s="25"/>
      <c r="O2295" s="195"/>
    </row>
    <row r="2296" spans="1:15" ht="15.95" customHeight="1" x14ac:dyDescent="0.25">
      <c r="A2296" s="121"/>
      <c r="B2296" s="23"/>
      <c r="C2296" s="59" t="s">
        <v>25</v>
      </c>
      <c r="D2296" s="658"/>
      <c r="E2296" s="659"/>
      <c r="F2296" s="483"/>
      <c r="G2296" s="484"/>
      <c r="H2296" s="649" t="s">
        <v>30</v>
      </c>
      <c r="I2296" s="650"/>
      <c r="J2296" s="42" t="str">
        <f t="array" ref="J2296">+IF(H2307&gt;=M4,MIN(IF($H$2300:$H$2308&gt;$M$4,$H$2300:$H$2308,"")),"vencida")</f>
        <v>vencida</v>
      </c>
      <c r="K2296" s="24"/>
      <c r="L2296" s="24"/>
      <c r="M2296" s="24"/>
      <c r="N2296" s="25"/>
      <c r="O2296" s="195"/>
    </row>
    <row r="2297" spans="1:15" ht="15.95" customHeight="1" x14ac:dyDescent="0.25">
      <c r="A2297" s="121"/>
      <c r="B2297" s="23"/>
      <c r="C2297" s="59" t="s">
        <v>6</v>
      </c>
      <c r="D2297" s="658" t="s">
        <v>74</v>
      </c>
      <c r="E2297" s="659"/>
      <c r="F2297" s="483"/>
      <c r="G2297" s="484"/>
      <c r="H2297" s="24"/>
      <c r="I2297" s="24"/>
      <c r="J2297" s="24"/>
      <c r="K2297" s="24"/>
      <c r="L2297" s="24"/>
      <c r="M2297" s="24"/>
      <c r="N2297" s="25"/>
      <c r="O2297" s="195"/>
    </row>
    <row r="2298" spans="1:15" ht="15.95" customHeight="1" x14ac:dyDescent="0.25">
      <c r="A2298" s="121"/>
      <c r="B2298" s="23"/>
      <c r="C2298" s="59" t="s">
        <v>8</v>
      </c>
      <c r="D2298" s="658" t="s">
        <v>17</v>
      </c>
      <c r="E2298" s="659"/>
      <c r="F2298" s="483"/>
      <c r="G2298" s="484"/>
      <c r="H2298" s="651" t="s">
        <v>41</v>
      </c>
      <c r="I2298" s="652"/>
      <c r="J2298" s="652"/>
      <c r="K2298" s="652"/>
      <c r="L2298" s="653"/>
      <c r="M2298" s="24"/>
      <c r="N2298" s="25"/>
      <c r="O2298" s="195"/>
    </row>
    <row r="2299" spans="1:15" ht="15.95" customHeight="1" x14ac:dyDescent="0.25">
      <c r="A2299" s="121"/>
      <c r="B2299" s="23"/>
      <c r="C2299" s="59" t="s">
        <v>33</v>
      </c>
      <c r="D2299" s="73" t="s">
        <v>289</v>
      </c>
      <c r="E2299" s="273">
        <v>0.52</v>
      </c>
      <c r="F2299" s="483">
        <f>+E2299*$J$2294</f>
        <v>0</v>
      </c>
      <c r="G2299" s="484"/>
      <c r="H2299" s="81" t="s">
        <v>0</v>
      </c>
      <c r="I2299" s="82" t="s">
        <v>2</v>
      </c>
      <c r="J2299" s="82" t="s">
        <v>3</v>
      </c>
      <c r="K2299" s="82" t="s">
        <v>4</v>
      </c>
      <c r="L2299" s="83" t="s">
        <v>5</v>
      </c>
      <c r="M2299" s="82" t="s">
        <v>44</v>
      </c>
      <c r="N2299" s="25"/>
      <c r="O2299" s="195"/>
    </row>
    <row r="2300" spans="1:15" ht="20.100000000000001" customHeight="1" x14ac:dyDescent="0.25">
      <c r="A2300" s="121"/>
      <c r="B2300" s="23"/>
      <c r="C2300" s="278" t="s">
        <v>33</v>
      </c>
      <c r="D2300" s="73" t="s">
        <v>308</v>
      </c>
      <c r="E2300" s="273">
        <v>0.3</v>
      </c>
      <c r="F2300" s="483">
        <f>+E2300*$J$2294</f>
        <v>0</v>
      </c>
      <c r="G2300" s="484"/>
      <c r="H2300" s="45"/>
      <c r="I2300" s="46"/>
      <c r="J2300" s="46"/>
      <c r="K2300" s="46"/>
      <c r="L2300" s="47"/>
      <c r="M2300" s="23"/>
      <c r="N2300" s="25"/>
      <c r="O2300" s="194" t="str">
        <f>+D2448</f>
        <v>ON Pyme CNV Garantizada</v>
      </c>
    </row>
    <row r="2301" spans="1:15" ht="15.95" customHeight="1" x14ac:dyDescent="0.25">
      <c r="A2301" s="121"/>
      <c r="B2301" s="23"/>
      <c r="C2301" s="278" t="s">
        <v>33</v>
      </c>
      <c r="D2301" s="73" t="s">
        <v>309</v>
      </c>
      <c r="E2301" s="273">
        <v>0.18</v>
      </c>
      <c r="F2301" s="483">
        <f>+E2301*$J$2294</f>
        <v>0</v>
      </c>
      <c r="G2301" s="484"/>
      <c r="H2301" s="48">
        <f>+$D$2312</f>
        <v>43270</v>
      </c>
      <c r="I2301" s="70"/>
      <c r="J2301" s="49"/>
      <c r="K2301" s="49"/>
      <c r="L2301" s="50">
        <f>+D2314</f>
        <v>25000000</v>
      </c>
      <c r="M2301" s="93">
        <f>-L2301</f>
        <v>-25000000</v>
      </c>
      <c r="N2301" s="25"/>
      <c r="O2301" s="195"/>
    </row>
    <row r="2302" spans="1:15" ht="15.95" customHeight="1" x14ac:dyDescent="0.25">
      <c r="A2302" s="121"/>
      <c r="B2302" s="23"/>
      <c r="C2302" s="59" t="s">
        <v>34</v>
      </c>
      <c r="D2302" s="658" t="s">
        <v>48</v>
      </c>
      <c r="E2302" s="659"/>
      <c r="F2302" s="483"/>
      <c r="G2302" s="484"/>
      <c r="H2302" s="51">
        <f>IF(DAY(H2301)=DAY($H$2301),IF(WEEKDAY(EDATE(H2301,$D$2315),3)&lt;5,EDATE(H2301,$D$2315),WORKDAY(EDATE(H2301,$D$2315),1)),IF(WEEKDAY(EDATE($H$2301,$D$2315*COUNT($H$2301:H2301)),3)&lt;5,EDATE($H$2301,$D$2315*COUNT($H$2301:H2301)),WORKDAY(EDATE($H$2301,$D$2315*COUNT($H$2301:H2301)),1)))</f>
        <v>43453</v>
      </c>
      <c r="I2302" s="71" t="s">
        <v>13</v>
      </c>
      <c r="J2302" s="52">
        <f>(IF(AND($D$2318&lt;&gt;"",$D$2318&gt;(AVERAGE(VLOOKUP(WORKDAY.INTL(H2302,-7,1,),'Tasas-TC'!A:B,2,FALSE),VLOOKUP(WORKDAY.INTL(H2301,-7,1,),'Tasas-TC'!A:B,2,FALSE))+$D$2317)),$D$2318,IF(AND($D$2319&lt;&gt;"",$D$2319&lt;(AVERAGE(VLOOKUP(WORKDAY.INTL(H2302,-7,1,),'Tasas-TC'!A:B,2,FALSE),VLOOKUP(WORKDAY.INTL(H2301,-7,1,),'Tasas-TC'!A:B,2,FALSE))+$D$2317)),$D$2319,(AVERAGE(VLOOKUP(WORKDAY.INTL(H2302,-7,1,),'Tasas-TC'!A:B,2,FALSE),VLOOKUP(WORKDAY.INTL(H2301,-7,1,),'Tasas-TC'!A:B,2,FALSE))+$D$2317)))/360)*(H2302-H2301)*L2301</f>
        <v>4702083.333333334</v>
      </c>
      <c r="K2302" s="52">
        <f>+IF(OR(I2302="A + C",I2302="A"),$D$2314*$D$2320,0)</f>
        <v>3750000</v>
      </c>
      <c r="L2302" s="53">
        <f t="shared" ref="L2302:L2307" si="224">+L2301-K2302</f>
        <v>21250000</v>
      </c>
      <c r="M2302" s="94">
        <f t="shared" ref="M2302:M2307" si="225">+J2302+K2302</f>
        <v>8452083.333333334</v>
      </c>
      <c r="N2302" s="25"/>
      <c r="O2302" s="194" t="str">
        <f>+IF(J2446="vencida",IF(D2448='Reporte - Oscuro'!$C$40,'Reporte - Oscuro'!$C$40&amp;" vencida",IF(D2448='Reporte - Oscuro'!$C$41,'Reporte - Oscuro'!$C$41&amp;" vencida",IF(D2448='Reporte - Oscuro'!$C$42,'Reporte - Oscuro'!$C$42&amp;" vencida",'Reporte - Oscuro'!$C$43&amp;" vencida"))),D2448&amp;" vigente")</f>
        <v>ON Pyme CNV Garantizada vencida</v>
      </c>
    </row>
    <row r="2303" spans="1:15" ht="15.95" customHeight="1" x14ac:dyDescent="0.25">
      <c r="A2303" s="121"/>
      <c r="B2303" s="23"/>
      <c r="C2303" s="79" t="s">
        <v>38</v>
      </c>
      <c r="D2303" s="75"/>
      <c r="E2303" s="76"/>
      <c r="F2303" s="483"/>
      <c r="G2303" s="484"/>
      <c r="H2303" s="51">
        <f>IF(DAY(H2302)=DAY($H$2301),IF(WEEKDAY(EDATE(H2302,$D$2315),3)&lt;5,EDATE(H2302,$D$2315),WORKDAY(EDATE(H2302,$D$2315),1)),IF(WEEKDAY(EDATE($H$2301,$D$2315*COUNT($H$2301:H2302)),3)&lt;5,EDATE($H$2301,$D$2315*COUNT($H$2301:H2302)),WORKDAY(EDATE($H$2301,$D$2315*COUNT($H$2301:H2302)),1)))</f>
        <v>43635</v>
      </c>
      <c r="I2303" s="71" t="s">
        <v>13</v>
      </c>
      <c r="J2303" s="52">
        <f>(IF(AND($D$2318&lt;&gt;"",$D$2318&gt;(AVERAGE(VLOOKUP(WORKDAY.INTL(H2303,-7,1,),'Tasas-TC'!A:B,2,FALSE),VLOOKUP(WORKDAY.INTL(H2302,-7,1,),'Tasas-TC'!A:B,2,FALSE))+$D$2317)),$D$2318,IF(AND($D$2319&lt;&gt;"",$D$2319&lt;(AVERAGE(VLOOKUP(WORKDAY.INTL(H2303,-7,1,),'Tasas-TC'!A:B,2,FALSE),VLOOKUP(WORKDAY.INTL(H2302,-7,1,),'Tasas-TC'!A:B,2,FALSE))+$D$2317)),$D$2319,(AVERAGE(VLOOKUP(WORKDAY.INTL(H2303,-7,1,),'Tasas-TC'!A:B,2,FALSE),VLOOKUP(WORKDAY.INTL(H2302,-7,1,),'Tasas-TC'!A:B,2,FALSE))+$D$2317)))/360)*(H2303-H2302)*L2302</f>
        <v>3974930.5555555555</v>
      </c>
      <c r="K2303" s="52">
        <f>+IF(OR(I2303="A + C",I2303="A"),$D$2314*$D$2320,0)</f>
        <v>3750000</v>
      </c>
      <c r="L2303" s="53">
        <f t="shared" si="224"/>
        <v>17500000</v>
      </c>
      <c r="M2303" s="94">
        <f t="shared" si="225"/>
        <v>7724930.555555556</v>
      </c>
      <c r="N2303" s="25"/>
      <c r="O2303" s="195"/>
    </row>
    <row r="2304" spans="1:15" ht="15.95" customHeight="1" x14ac:dyDescent="0.25">
      <c r="A2304" s="121"/>
      <c r="B2304" s="23"/>
      <c r="C2304" s="59"/>
      <c r="D2304" s="73"/>
      <c r="E2304" s="74"/>
      <c r="F2304" s="483"/>
      <c r="G2304" s="484"/>
      <c r="H2304" s="51">
        <f>IF(DAY(H2303)=DAY($H$2301),IF(WEEKDAY(EDATE(H2303,$D$2315),3)&lt;5,EDATE(H2303,$D$2315),WORKDAY(EDATE(H2303,$D$2315),1)),IF(WEEKDAY(EDATE($H$2301,$D$2315*COUNT($H$2301:H2303)),3)&lt;5,EDATE($H$2301,$D$2315*COUNT($H$2301:H2303)),WORKDAY(EDATE($H$2301,$D$2315*COUNT($H$2301:H2303)),1)))</f>
        <v>43818</v>
      </c>
      <c r="I2304" s="71" t="s">
        <v>13</v>
      </c>
      <c r="J2304" s="52">
        <f>(IF(AND($D$2318&lt;&gt;"",$D$2318&gt;(AVERAGE(VLOOKUP(WORKDAY.INTL(H2304,-7,1,),'Tasas-TC'!A:B,2,FALSE),VLOOKUP(WORKDAY.INTL(H2303,-7,1,),'Tasas-TC'!A:B,2,FALSE))+$D$2317)),$D$2318,IF(AND($D$2319&lt;&gt;"",$D$2319&lt;(AVERAGE(VLOOKUP(WORKDAY.INTL(H2304,-7,1,),'Tasas-TC'!A:B,2,FALSE),VLOOKUP(WORKDAY.INTL(H2303,-7,1,),'Tasas-TC'!A:B,2,FALSE))+$D$2317)),$D$2319,(AVERAGE(VLOOKUP(WORKDAY.INTL(H2304,-7,1,),'Tasas-TC'!A:B,2,FALSE),VLOOKUP(WORKDAY.INTL(H2303,-7,1,),'Tasas-TC'!A:B,2,FALSE))+$D$2317)))/360)*(H2304-H2303)*L2303</f>
        <v>3291458.3333333335</v>
      </c>
      <c r="K2304" s="52">
        <f>+IF(OR(I2304="A + C",I2304="A"),$D$2314*$D$2320,0)</f>
        <v>3750000</v>
      </c>
      <c r="L2304" s="53">
        <f t="shared" si="224"/>
        <v>13750000</v>
      </c>
      <c r="M2304" s="94">
        <f t="shared" si="225"/>
        <v>7041458.333333334</v>
      </c>
      <c r="N2304" s="25"/>
      <c r="O2304" s="195"/>
    </row>
    <row r="2305" spans="1:17" ht="15.95" customHeight="1" x14ac:dyDescent="0.25">
      <c r="A2305" s="121"/>
      <c r="B2305" s="32"/>
      <c r="C2305" s="60"/>
      <c r="D2305" s="77"/>
      <c r="E2305" s="78"/>
      <c r="F2305" s="483"/>
      <c r="G2305" s="484"/>
      <c r="H2305" s="51">
        <f>IF(DAY(H2304)=DAY($H$2301),IF(WEEKDAY(EDATE(H2304,$D$2315),3)&lt;5,EDATE(H2304,$D$2315),WORKDAY(EDATE(H2304,$D$2315),1)),IF(WEEKDAY(EDATE($H$2301,$D$2315*COUNT($H$2301:H2304)),3)&lt;5,EDATE($H$2301,$D$2315*COUNT($H$2301:H2304)),WORKDAY(EDATE($H$2301,$D$2315*COUNT($H$2301:H2304)),1)))</f>
        <v>44001</v>
      </c>
      <c r="I2305" s="71" t="s">
        <v>13</v>
      </c>
      <c r="J2305" s="52">
        <f>(IF(AND($D$2318&lt;&gt;"",$D$2318&gt;(AVERAGE(VLOOKUP(WORKDAY.INTL(H2305,-7,1,),'Tasas-TC'!A:B,2,FALSE),VLOOKUP(WORKDAY.INTL(H2304,-7,1,),'Tasas-TC'!A:B,2,FALSE))+$D$2317)),$D$2318,IF(AND($D$2319&lt;&gt;"",$D$2319&lt;(AVERAGE(VLOOKUP(WORKDAY.INTL(H2305,-7,1,),'Tasas-TC'!A:B,2,FALSE),VLOOKUP(WORKDAY.INTL(H2304,-7,1,),'Tasas-TC'!A:B,2,FALSE))+$D$2317)),$D$2319,(AVERAGE(VLOOKUP(WORKDAY.INTL(H2305,-7,1,),'Tasas-TC'!A:B,2,FALSE),VLOOKUP(WORKDAY.INTL(H2304,-7,1,),'Tasas-TC'!A:B,2,FALSE))+$D$2317)))/360)*(H2305-H2304)*L2304</f>
        <v>2586145.8333333335</v>
      </c>
      <c r="K2305" s="52">
        <f>+IF(OR(I2305="A + C",I2305="A"),$D$2314*$D$2320,0)</f>
        <v>3750000</v>
      </c>
      <c r="L2305" s="53">
        <f t="shared" si="224"/>
        <v>10000000</v>
      </c>
      <c r="M2305" s="94">
        <f t="shared" si="225"/>
        <v>6336145.833333334</v>
      </c>
      <c r="N2305" s="25"/>
      <c r="O2305" s="195"/>
    </row>
    <row r="2306" spans="1:17" ht="15.95" customHeight="1" x14ac:dyDescent="0.25">
      <c r="A2306" s="121"/>
      <c r="B2306" s="23"/>
      <c r="C2306" s="60"/>
      <c r="D2306" s="275" t="str">
        <f>+B2292</f>
        <v>Tresnal Agropecuaria I</v>
      </c>
      <c r="E2306" s="276"/>
      <c r="F2306" s="483"/>
      <c r="G2306" s="484">
        <f>+J2294</f>
        <v>0</v>
      </c>
      <c r="H2306" s="51">
        <f>IF(DAY(H2305)=DAY($H$2301),IF(WEEKDAY(EDATE(H2305,$D$2315),3)&lt;5,EDATE(H2305,$D$2315),WORKDAY(EDATE(H2305,$D$2315),1)),IF(WEEKDAY(EDATE($H$2301,$D$2315*COUNT($H$2301:H2305)),3)&lt;5,EDATE($H$2301,$D$2315*COUNT($H$2301:H2305)),WORKDAY(EDATE($H$2301,$D$2315*COUNT($H$2301:H2305)),1)))</f>
        <v>44186</v>
      </c>
      <c r="I2306" s="71" t="s">
        <v>13</v>
      </c>
      <c r="J2306" s="52">
        <f>(IF(AND($D$2318&lt;&gt;"",$D$2318&gt;(AVERAGE(VLOOKUP(WORKDAY.INTL(H2306,-7,1,),'Tasas-TC'!A:B,2,FALSE),VLOOKUP(WORKDAY.INTL(H2305,-7,1,),'Tasas-TC'!A:B,2,FALSE))+$D$2317)),$D$2318,IF(AND($D$2319&lt;&gt;"",$D$2319&lt;(AVERAGE(VLOOKUP(WORKDAY.INTL(H2306,-7,1,),'Tasas-TC'!A:B,2,FALSE),VLOOKUP(WORKDAY.INTL(H2305,-7,1,),'Tasas-TC'!A:B,2,FALSE))+$D$2317)),$D$2319,(AVERAGE(VLOOKUP(WORKDAY.INTL(H2306,-7,1,),'Tasas-TC'!A:B,2,FALSE),VLOOKUP(WORKDAY.INTL(H2305,-7,1,),'Tasas-TC'!A:B,2,FALSE))+$D$2317)))/360)*(H2306-H2305)*L2305</f>
        <v>1901388.8888888892</v>
      </c>
      <c r="K2306" s="52">
        <f>+IF(OR(I2306="A + C",I2306="A"),$D$2314*$D$2320,0)</f>
        <v>3750000</v>
      </c>
      <c r="L2306" s="53">
        <f t="shared" si="224"/>
        <v>6250000</v>
      </c>
      <c r="M2306" s="94">
        <f t="shared" si="225"/>
        <v>5651388.888888889</v>
      </c>
      <c r="N2306" s="25"/>
      <c r="O2306" s="195"/>
    </row>
    <row r="2307" spans="1:17" ht="15.95" customHeight="1" x14ac:dyDescent="0.25">
      <c r="A2307" s="121"/>
      <c r="B2307" s="23"/>
      <c r="D2307" s="277"/>
      <c r="E2307" s="277"/>
      <c r="F2307" s="483"/>
      <c r="G2307" s="484"/>
      <c r="H2307" s="51">
        <f>IF(DAY(H2306)=DAY($H$2301),IF(WEEKDAY(EDATE(H2306,$D$2315),3)&lt;5,EDATE(H2306,$D$2315),WORKDAY(EDATE(H2306,$D$2315),1)),IF(WEEKDAY(EDATE($H$2301,$D$2315*COUNT($H$2301:H2306)),3)&lt;5,EDATE($H$2301,$D$2315*COUNT($H$2301:H2306)),WORKDAY(EDATE($H$2301,$D$2315*COUNT($H$2301:H2306)),1)))</f>
        <v>44368</v>
      </c>
      <c r="I2307" s="71" t="s">
        <v>13</v>
      </c>
      <c r="J2307" s="52">
        <f>(IF(AND($D$2318&lt;&gt;"",$D$2318&gt;(AVERAGE(VLOOKUP(WORKDAY.INTL(H2307,-7,1,),'Tasas-TC'!A:B,2,FALSE),VLOOKUP(WORKDAY.INTL(H2306,-7,1,),'Tasas-TC'!A:B,2,FALSE))+$D$2317)),$D$2318,IF(AND($D$2319&lt;&gt;"",$D$2319&lt;(AVERAGE(VLOOKUP(WORKDAY.INTL(H2307,-7,1,),'Tasas-TC'!A:B,2,FALSE),VLOOKUP(WORKDAY.INTL(H2306,-7,1,),'Tasas-TC'!A:B,2,FALSE))+$D$2317)),$D$2319,(AVERAGE(VLOOKUP(WORKDAY.INTL(H2307,-7,1,),'Tasas-TC'!A:B,2,FALSE),VLOOKUP(WORKDAY.INTL(H2306,-7,1,),'Tasas-TC'!A:B,2,FALSE))+$D$2317)))/360)*(H2307-H2306)*L2306</f>
        <v>1169097.2222222222</v>
      </c>
      <c r="K2307" s="52">
        <f>+IF(OR(I2307="A + C",I2307="A"),$D$2314*$D$2321,0)</f>
        <v>6250000</v>
      </c>
      <c r="L2307" s="53">
        <f t="shared" si="224"/>
        <v>0</v>
      </c>
      <c r="M2307" s="94">
        <f t="shared" si="225"/>
        <v>7419097.222222222</v>
      </c>
      <c r="N2307" s="25"/>
      <c r="O2307" s="197">
        <f>+M2451</f>
        <v>-4000000</v>
      </c>
      <c r="P2307" s="197">
        <f>-M2451</f>
        <v>4000000</v>
      </c>
      <c r="Q2307" s="197"/>
    </row>
    <row r="2308" spans="1:17" ht="15.95" customHeight="1" x14ac:dyDescent="0.25">
      <c r="A2308" s="121"/>
      <c r="B2308" s="23"/>
      <c r="C2308" s="638" t="s">
        <v>36</v>
      </c>
      <c r="D2308" s="640"/>
      <c r="E2308" s="36"/>
      <c r="F2308" s="483"/>
      <c r="G2308" s="484"/>
      <c r="H2308" s="54"/>
      <c r="I2308" s="61"/>
      <c r="J2308" s="55"/>
      <c r="K2308" s="56"/>
      <c r="L2308" s="57"/>
      <c r="M2308" s="95"/>
      <c r="N2308" s="25"/>
      <c r="O2308" s="197">
        <f t="shared" ref="O2308:O2315" si="226">+M2452+O2307</f>
        <v>-3171642.777777778</v>
      </c>
      <c r="P2308" s="197">
        <f t="shared" ref="P2308:P2315" si="227">+(M2452/(1+$J$2463)^((H2452-$H$2451)/365))/$P$2307</f>
        <v>0.20708930555555558</v>
      </c>
      <c r="Q2308" s="197">
        <f t="shared" ref="Q2308:Q2315" si="228">+P2308*((H2452-$H$2451)/365)</f>
        <v>5.1630484398782352E-2</v>
      </c>
    </row>
    <row r="2309" spans="1:17" ht="15.95" customHeight="1" x14ac:dyDescent="0.25">
      <c r="A2309" s="121"/>
      <c r="B2309" s="23"/>
      <c r="C2309" s="59"/>
      <c r="D2309" s="62"/>
      <c r="E2309" s="36"/>
      <c r="F2309" s="483"/>
      <c r="G2309" s="484"/>
      <c r="H2309" s="24"/>
      <c r="I2309" s="24"/>
      <c r="J2309" s="24"/>
      <c r="K2309" s="24"/>
      <c r="L2309" s="24"/>
      <c r="M2309" s="24"/>
      <c r="N2309" s="25"/>
      <c r="O2309" s="197">
        <f t="shared" si="226"/>
        <v>-2434497.277777778</v>
      </c>
      <c r="P2309" s="197">
        <f t="shared" si="227"/>
        <v>0.184286375</v>
      </c>
      <c r="Q2309" s="197">
        <f t="shared" si="228"/>
        <v>9.2395634589041112E-2</v>
      </c>
    </row>
    <row r="2310" spans="1:17" ht="15.95" customHeight="1" x14ac:dyDescent="0.25">
      <c r="A2310" s="121"/>
      <c r="B2310" s="23"/>
      <c r="C2310" s="59" t="s">
        <v>9</v>
      </c>
      <c r="D2310" s="98" t="s">
        <v>18</v>
      </c>
      <c r="E2310" s="36"/>
      <c r="F2310" s="483"/>
      <c r="G2310" s="484"/>
      <c r="H2310" s="656" t="s">
        <v>43</v>
      </c>
      <c r="I2310" s="656"/>
      <c r="J2310" s="92">
        <v>0</v>
      </c>
      <c r="K2310" s="92"/>
      <c r="L2310" s="24"/>
      <c r="M2310" s="24"/>
      <c r="N2310" s="25"/>
      <c r="O2310" s="197">
        <f t="shared" si="226"/>
        <v>-1726730.8333333335</v>
      </c>
      <c r="P2310" s="197">
        <f t="shared" si="227"/>
        <v>0.17694161111111112</v>
      </c>
      <c r="Q2310" s="197">
        <f t="shared" si="228"/>
        <v>0.13428171582952816</v>
      </c>
    </row>
    <row r="2311" spans="1:17" ht="15.95" customHeight="1" x14ac:dyDescent="0.25">
      <c r="A2311" s="121"/>
      <c r="B2311" s="23"/>
      <c r="C2311" s="59" t="s">
        <v>10</v>
      </c>
      <c r="D2311" s="65">
        <v>43265</v>
      </c>
      <c r="E2311" s="36"/>
      <c r="F2311" s="483"/>
      <c r="G2311" s="485"/>
      <c r="H2311" s="657"/>
      <c r="I2311" s="657"/>
      <c r="J2311" s="392"/>
      <c r="K2311" s="24"/>
      <c r="L2311" s="33"/>
      <c r="M2311" s="33"/>
      <c r="N2311" s="25"/>
      <c r="O2311" s="197">
        <f t="shared" si="226"/>
        <v>-1050547.0972222225</v>
      </c>
      <c r="P2311" s="197">
        <f t="shared" si="227"/>
        <v>0.16904593402777779</v>
      </c>
      <c r="Q2311" s="197">
        <f t="shared" si="228"/>
        <v>0.17043535266362256</v>
      </c>
    </row>
    <row r="2312" spans="1:17" ht="15.95" customHeight="1" x14ac:dyDescent="0.25">
      <c r="A2312" s="121"/>
      <c r="B2312" s="23"/>
      <c r="C2312" s="59" t="s">
        <v>11</v>
      </c>
      <c r="D2312" s="65">
        <v>43270</v>
      </c>
      <c r="E2312" s="36"/>
      <c r="F2312" s="480"/>
      <c r="G2312" s="485"/>
      <c r="H2312" s="24"/>
      <c r="I2312" s="24"/>
      <c r="J2312" s="24"/>
      <c r="K2312" s="24"/>
      <c r="L2312" s="24"/>
      <c r="M2312" s="24"/>
      <c r="N2312" s="25"/>
      <c r="O2312" s="197">
        <f t="shared" si="226"/>
        <v>-409155.76388888911</v>
      </c>
      <c r="P2312" s="197">
        <f t="shared" si="227"/>
        <v>0.16034783333333336</v>
      </c>
      <c r="Q2312" s="197">
        <f t="shared" si="228"/>
        <v>0.20032496438356168</v>
      </c>
    </row>
    <row r="2313" spans="1:17" ht="15.95" customHeight="1" x14ac:dyDescent="0.25">
      <c r="A2313" s="121"/>
      <c r="B2313" s="23"/>
      <c r="C2313" s="59" t="s">
        <v>12</v>
      </c>
      <c r="D2313" s="65">
        <v>44366</v>
      </c>
      <c r="E2313" s="36"/>
      <c r="F2313" s="480"/>
      <c r="G2313" s="485"/>
      <c r="H2313" s="638" t="s">
        <v>44</v>
      </c>
      <c r="I2313" s="639"/>
      <c r="J2313" s="639"/>
      <c r="K2313" s="639"/>
      <c r="L2313" s="639"/>
      <c r="M2313" s="640"/>
      <c r="N2313" s="25"/>
      <c r="O2313" s="197">
        <f t="shared" si="226"/>
        <v>205229.51388888864</v>
      </c>
      <c r="P2313" s="197">
        <f t="shared" si="227"/>
        <v>0.15359631944444443</v>
      </c>
      <c r="Q2313" s="197">
        <f t="shared" si="228"/>
        <v>0.23144650875190256</v>
      </c>
    </row>
    <row r="2314" spans="1:17" ht="15.95" customHeight="1" x14ac:dyDescent="0.25">
      <c r="A2314" s="121"/>
      <c r="B2314" s="23"/>
      <c r="C2314" s="59" t="s">
        <v>27</v>
      </c>
      <c r="D2314" s="66">
        <v>25000000</v>
      </c>
      <c r="E2314" s="41"/>
      <c r="F2314" s="480"/>
      <c r="G2314" s="485"/>
      <c r="H2314" s="23"/>
      <c r="I2314" s="24"/>
      <c r="J2314" s="24"/>
      <c r="K2314" s="24"/>
      <c r="L2314" s="24"/>
      <c r="M2314" s="25"/>
      <c r="N2314" s="25"/>
      <c r="O2314" s="197">
        <f t="shared" si="226"/>
        <v>771516.84722222202</v>
      </c>
      <c r="P2314" s="197">
        <f t="shared" si="227"/>
        <v>0.14157183333333334</v>
      </c>
      <c r="Q2314" s="197">
        <f t="shared" si="228"/>
        <v>0.24862341141552513</v>
      </c>
    </row>
    <row r="2315" spans="1:17" ht="15.95" customHeight="1" x14ac:dyDescent="0.25">
      <c r="A2315" s="121"/>
      <c r="B2315" s="23"/>
      <c r="C2315" s="59" t="s">
        <v>26</v>
      </c>
      <c r="D2315" s="66">
        <v>6</v>
      </c>
      <c r="E2315" s="36"/>
      <c r="F2315" s="480"/>
      <c r="G2315" s="485"/>
      <c r="H2315" s="23"/>
      <c r="I2315" s="24"/>
      <c r="J2315" s="24"/>
      <c r="K2315" s="24"/>
      <c r="L2315" s="24"/>
      <c r="M2315" s="25"/>
      <c r="N2315" s="25"/>
      <c r="O2315" s="197">
        <f t="shared" si="226"/>
        <v>2095143.097222222</v>
      </c>
      <c r="P2315" s="197">
        <f t="shared" si="227"/>
        <v>0.3309065625</v>
      </c>
      <c r="Q2315" s="197">
        <f t="shared" si="228"/>
        <v>0.66271971832191789</v>
      </c>
    </row>
    <row r="2316" spans="1:17" ht="15.95" customHeight="1" x14ac:dyDescent="0.25">
      <c r="A2316" s="121"/>
      <c r="B2316" s="23"/>
      <c r="C2316" s="59" t="s">
        <v>19</v>
      </c>
      <c r="D2316" s="67" t="s">
        <v>20</v>
      </c>
      <c r="E2316" s="43"/>
      <c r="F2316" s="480"/>
      <c r="G2316" s="485"/>
      <c r="H2316" s="96"/>
      <c r="I2316" s="35"/>
      <c r="J2316" s="24"/>
      <c r="K2316" s="24"/>
      <c r="L2316" s="24"/>
      <c r="M2316" s="25"/>
      <c r="N2316" s="25"/>
      <c r="O2316" s="195"/>
      <c r="P2316" s="29"/>
    </row>
    <row r="2317" spans="1:17" ht="15.95" customHeight="1" x14ac:dyDescent="0.25">
      <c r="A2317" s="121"/>
      <c r="B2317" s="23"/>
      <c r="C2317" s="59" t="s">
        <v>14</v>
      </c>
      <c r="D2317" s="68">
        <v>0.1</v>
      </c>
      <c r="E2317" s="43"/>
      <c r="F2317" s="480"/>
      <c r="G2317" s="485"/>
      <c r="H2317" s="23"/>
      <c r="I2317" s="24"/>
      <c r="J2317" s="24"/>
      <c r="K2317" s="24"/>
      <c r="L2317" s="24"/>
      <c r="M2317" s="25"/>
      <c r="N2317" s="25"/>
      <c r="O2317" s="195"/>
    </row>
    <row r="2318" spans="1:17" ht="15.95" customHeight="1" x14ac:dyDescent="0.25">
      <c r="A2318" s="121"/>
      <c r="B2318" s="23"/>
      <c r="C2318" s="59" t="s">
        <v>31</v>
      </c>
      <c r="D2318" s="68">
        <v>0.15</v>
      </c>
      <c r="E2318" s="43"/>
      <c r="F2318" s="480"/>
      <c r="G2318" s="485"/>
      <c r="H2318" s="23"/>
      <c r="I2318" s="24"/>
      <c r="J2318" s="24"/>
      <c r="K2318" s="24"/>
      <c r="L2318" s="24"/>
      <c r="M2318" s="25"/>
      <c r="N2318" s="25"/>
      <c r="O2318" s="195"/>
      <c r="P2318" s="37"/>
    </row>
    <row r="2319" spans="1:17" ht="15.95" customHeight="1" x14ac:dyDescent="0.25">
      <c r="A2319" s="121"/>
      <c r="B2319" s="23"/>
      <c r="C2319" s="59" t="s">
        <v>32</v>
      </c>
      <c r="D2319" s="68">
        <v>0.37</v>
      </c>
      <c r="E2319" s="44"/>
      <c r="F2319" s="480"/>
      <c r="G2319" s="485"/>
      <c r="H2319" s="23"/>
      <c r="I2319" s="24"/>
      <c r="J2319" s="24"/>
      <c r="K2319" s="24"/>
      <c r="L2319" s="24"/>
      <c r="M2319" s="25"/>
      <c r="N2319" s="25"/>
      <c r="O2319" s="195"/>
    </row>
    <row r="2320" spans="1:17" ht="15.95" customHeight="1" x14ac:dyDescent="0.25">
      <c r="A2320" s="121"/>
      <c r="B2320" s="23"/>
      <c r="C2320" s="59" t="s">
        <v>42</v>
      </c>
      <c r="D2320" s="69">
        <v>0.15</v>
      </c>
      <c r="E2320" s="24"/>
      <c r="F2320" s="480"/>
      <c r="G2320" s="485"/>
      <c r="H2320" s="23"/>
      <c r="I2320" s="24"/>
      <c r="J2320" s="24"/>
      <c r="K2320" s="24"/>
      <c r="L2320" s="24"/>
      <c r="M2320" s="25"/>
      <c r="N2320" s="25"/>
      <c r="O2320" s="195"/>
    </row>
    <row r="2321" spans="1:15" ht="15.95" customHeight="1" x14ac:dyDescent="0.25">
      <c r="A2321" s="121"/>
      <c r="B2321" s="23"/>
      <c r="C2321" s="59" t="s">
        <v>55</v>
      </c>
      <c r="D2321" s="69">
        <v>0.25</v>
      </c>
      <c r="E2321" s="24"/>
      <c r="F2321" s="480"/>
      <c r="G2321" s="485"/>
      <c r="H2321" s="23"/>
      <c r="I2321" s="24"/>
      <c r="J2321" s="24"/>
      <c r="K2321" s="24"/>
      <c r="L2321" s="24"/>
      <c r="M2321" s="25"/>
      <c r="N2321" s="25"/>
      <c r="O2321" s="195"/>
    </row>
    <row r="2322" spans="1:15" ht="15.95" customHeight="1" x14ac:dyDescent="0.25">
      <c r="A2322" s="121"/>
      <c r="B2322" s="23"/>
      <c r="C2322" s="63"/>
      <c r="D2322" s="64"/>
      <c r="E2322" s="24"/>
      <c r="F2322" s="480"/>
      <c r="G2322" s="485"/>
      <c r="H2322" s="23"/>
      <c r="I2322" s="24"/>
      <c r="J2322" s="24"/>
      <c r="K2322" s="24"/>
      <c r="L2322" s="24"/>
      <c r="M2322" s="25"/>
      <c r="N2322" s="25"/>
      <c r="O2322" s="195"/>
    </row>
    <row r="2323" spans="1:15" ht="15.95" customHeight="1" x14ac:dyDescent="0.25">
      <c r="A2323" s="121"/>
      <c r="B2323" s="23"/>
      <c r="C2323" s="24"/>
      <c r="D2323" s="24"/>
      <c r="E2323" s="24"/>
      <c r="F2323" s="480"/>
      <c r="G2323" s="485"/>
      <c r="H2323" s="23"/>
      <c r="I2323" s="24"/>
      <c r="J2323" s="24"/>
      <c r="K2323" s="24"/>
      <c r="L2323" s="24"/>
      <c r="M2323" s="25"/>
      <c r="N2323" s="25"/>
      <c r="O2323" s="195"/>
    </row>
    <row r="2324" spans="1:15" ht="15.95" customHeight="1" x14ac:dyDescent="0.25">
      <c r="A2324" s="121"/>
      <c r="B2324" s="23"/>
      <c r="C2324" s="24"/>
      <c r="D2324" s="24"/>
      <c r="E2324" s="24"/>
      <c r="F2324" s="480"/>
      <c r="G2324" s="485"/>
      <c r="H2324" s="23"/>
      <c r="I2324" s="24"/>
      <c r="J2324" s="24"/>
      <c r="K2324" s="24"/>
      <c r="L2324" s="24"/>
      <c r="M2324" s="25"/>
      <c r="N2324" s="25"/>
      <c r="O2324" s="195"/>
    </row>
    <row r="2325" spans="1:15" ht="15.95" customHeight="1" x14ac:dyDescent="0.25">
      <c r="A2325" s="121"/>
      <c r="B2325" s="23"/>
      <c r="C2325" s="24"/>
      <c r="D2325" s="24"/>
      <c r="E2325" s="24"/>
      <c r="F2325" s="480"/>
      <c r="G2325" s="485"/>
      <c r="H2325" s="26"/>
      <c r="I2325" s="27"/>
      <c r="J2325" s="27"/>
      <c r="K2325" s="27"/>
      <c r="L2325" s="27"/>
      <c r="M2325" s="28"/>
      <c r="N2325" s="25"/>
      <c r="O2325" s="195"/>
    </row>
    <row r="2326" spans="1:15" ht="15.95" customHeight="1" x14ac:dyDescent="0.25">
      <c r="A2326" s="121"/>
      <c r="B2326" s="26"/>
      <c r="C2326" s="27"/>
      <c r="D2326" s="27"/>
      <c r="E2326" s="27"/>
      <c r="F2326" s="481"/>
      <c r="G2326" s="486"/>
      <c r="H2326" s="27"/>
      <c r="I2326" s="27"/>
      <c r="J2326" s="27"/>
      <c r="K2326" s="27"/>
      <c r="L2326" s="27"/>
      <c r="M2326" s="27"/>
      <c r="N2326" s="28"/>
      <c r="O2326" s="195"/>
    </row>
    <row r="2327" spans="1:15" ht="15.95" customHeight="1" x14ac:dyDescent="0.25">
      <c r="A2327" s="121"/>
      <c r="B2327" s="23"/>
      <c r="C2327" s="24"/>
      <c r="D2327" s="24"/>
      <c r="E2327" s="24"/>
      <c r="F2327" s="480"/>
      <c r="G2327" s="480"/>
      <c r="H2327" s="24"/>
      <c r="I2327" s="24"/>
      <c r="J2327" s="24"/>
      <c r="K2327" s="24"/>
      <c r="L2327" s="24"/>
      <c r="M2327" s="24"/>
      <c r="N2327" s="25"/>
      <c r="O2327" s="195"/>
    </row>
    <row r="2328" spans="1:15" ht="15.95" customHeight="1" x14ac:dyDescent="0.25">
      <c r="A2328" s="121"/>
      <c r="B2328" s="661" t="s">
        <v>370</v>
      </c>
      <c r="C2328" s="662"/>
      <c r="D2328" s="662"/>
      <c r="E2328" s="662"/>
      <c r="F2328" s="662"/>
      <c r="G2328" s="662"/>
      <c r="H2328" s="662"/>
      <c r="I2328" s="662"/>
      <c r="J2328" s="662"/>
      <c r="K2328" s="662"/>
      <c r="L2328" s="662"/>
      <c r="M2328" s="662"/>
      <c r="N2328" s="663"/>
      <c r="O2328" s="195"/>
    </row>
    <row r="2329" spans="1:15" ht="15.95" customHeight="1" x14ac:dyDescent="0.25">
      <c r="A2329" s="121"/>
      <c r="B2329" s="23"/>
      <c r="C2329" s="24"/>
      <c r="D2329" s="24"/>
      <c r="E2329" s="24"/>
      <c r="F2329" s="483"/>
      <c r="G2329" s="484"/>
      <c r="H2329" s="31"/>
      <c r="I2329" s="31"/>
      <c r="J2329" s="24"/>
      <c r="K2329" s="24"/>
      <c r="L2329" s="24"/>
      <c r="M2329" s="24"/>
      <c r="N2329" s="25"/>
      <c r="O2329" s="195"/>
    </row>
    <row r="2330" spans="1:15" ht="15.95" customHeight="1" x14ac:dyDescent="0.25">
      <c r="A2330" s="121"/>
      <c r="B2330" s="23"/>
      <c r="C2330" s="638" t="s">
        <v>37</v>
      </c>
      <c r="D2330" s="639"/>
      <c r="E2330" s="640"/>
      <c r="F2330" s="483"/>
      <c r="G2330" s="484"/>
      <c r="H2330" s="641" t="s">
        <v>28</v>
      </c>
      <c r="I2330" s="642"/>
      <c r="J2330" s="39">
        <f>+$D$2350-SUMIF($H$2337:$H$2343,"&lt;"&amp;$M$4,$K$2337:$K$2343)</f>
        <v>0</v>
      </c>
      <c r="K2330" s="24"/>
      <c r="L2330" s="24"/>
      <c r="M2330" s="24"/>
      <c r="N2330" s="25"/>
      <c r="O2330" s="195"/>
    </row>
    <row r="2331" spans="1:15" ht="15.95" customHeight="1" x14ac:dyDescent="0.25">
      <c r="A2331" s="121"/>
      <c r="B2331" s="23"/>
      <c r="C2331" s="58"/>
      <c r="D2331" s="664"/>
      <c r="E2331" s="665"/>
      <c r="F2331" s="483"/>
      <c r="G2331" s="484"/>
      <c r="H2331" s="645" t="s">
        <v>29</v>
      </c>
      <c r="I2331" s="646"/>
      <c r="J2331" s="40">
        <f>+$D$2349</f>
        <v>45776</v>
      </c>
      <c r="K2331" s="24"/>
      <c r="L2331" s="24"/>
      <c r="M2331" s="24"/>
      <c r="N2331" s="25"/>
      <c r="O2331" s="195"/>
    </row>
    <row r="2332" spans="1:15" ht="15.95" customHeight="1" x14ac:dyDescent="0.25">
      <c r="A2332" s="121"/>
      <c r="B2332" s="23"/>
      <c r="C2332" s="59" t="s">
        <v>25</v>
      </c>
      <c r="D2332" s="658"/>
      <c r="E2332" s="659"/>
      <c r="F2332" s="483"/>
      <c r="G2332" s="484"/>
      <c r="H2332" s="649" t="s">
        <v>30</v>
      </c>
      <c r="I2332" s="650"/>
      <c r="J2332" s="42" t="s">
        <v>62</v>
      </c>
      <c r="K2332" s="24"/>
      <c r="L2332" s="24"/>
      <c r="M2332" s="24"/>
      <c r="N2332" s="25"/>
      <c r="O2332" s="195"/>
    </row>
    <row r="2333" spans="1:15" ht="15.95" customHeight="1" x14ac:dyDescent="0.25">
      <c r="A2333" s="121"/>
      <c r="B2333" s="23"/>
      <c r="C2333" s="59" t="s">
        <v>6</v>
      </c>
      <c r="D2333" s="658" t="s">
        <v>74</v>
      </c>
      <c r="E2333" s="659"/>
      <c r="F2333" s="483"/>
      <c r="G2333" s="484"/>
      <c r="H2333" s="24"/>
      <c r="I2333" s="24"/>
      <c r="J2333" s="24"/>
      <c r="K2333" s="24"/>
      <c r="L2333" s="24"/>
      <c r="M2333" s="24"/>
      <c r="N2333" s="25"/>
      <c r="O2333" s="195"/>
    </row>
    <row r="2334" spans="1:15" ht="15.95" customHeight="1" x14ac:dyDescent="0.25">
      <c r="A2334" s="121"/>
      <c r="B2334" s="23"/>
      <c r="C2334" s="59" t="s">
        <v>8</v>
      </c>
      <c r="D2334" s="658" t="s">
        <v>17</v>
      </c>
      <c r="E2334" s="659"/>
      <c r="F2334" s="483"/>
      <c r="G2334" s="484"/>
      <c r="H2334" s="651" t="s">
        <v>41</v>
      </c>
      <c r="I2334" s="652"/>
      <c r="J2334" s="652"/>
      <c r="K2334" s="652"/>
      <c r="L2334" s="653"/>
      <c r="M2334" s="24"/>
      <c r="N2334" s="25"/>
      <c r="O2334" s="195"/>
    </row>
    <row r="2335" spans="1:15" ht="15.95" customHeight="1" x14ac:dyDescent="0.25">
      <c r="A2335" s="121"/>
      <c r="B2335" s="23"/>
      <c r="C2335" s="59" t="s">
        <v>33</v>
      </c>
      <c r="D2335" s="73" t="s">
        <v>309</v>
      </c>
      <c r="E2335" s="273">
        <v>1</v>
      </c>
      <c r="F2335" s="483">
        <f>+E2335*J2330</f>
        <v>0</v>
      </c>
      <c r="G2335" s="484"/>
      <c r="H2335" s="81" t="s">
        <v>0</v>
      </c>
      <c r="I2335" s="82" t="s">
        <v>2</v>
      </c>
      <c r="J2335" s="82" t="s">
        <v>3</v>
      </c>
      <c r="K2335" s="82" t="s">
        <v>4</v>
      </c>
      <c r="L2335" s="83" t="s">
        <v>5</v>
      </c>
      <c r="M2335" s="82" t="s">
        <v>44</v>
      </c>
      <c r="N2335" s="25"/>
      <c r="O2335" s="195"/>
    </row>
    <row r="2336" spans="1:15" ht="15.95" customHeight="1" x14ac:dyDescent="0.25">
      <c r="A2336" s="121"/>
      <c r="B2336" s="23"/>
      <c r="C2336" s="278" t="s">
        <v>33</v>
      </c>
      <c r="D2336" s="73"/>
      <c r="E2336" s="273"/>
      <c r="F2336" s="483">
        <f>+E2336*$J$2294</f>
        <v>0</v>
      </c>
      <c r="G2336" s="484"/>
      <c r="H2336" s="45"/>
      <c r="I2336" s="46"/>
      <c r="J2336" s="46"/>
      <c r="K2336" s="46"/>
      <c r="L2336" s="47"/>
      <c r="M2336" s="23"/>
      <c r="N2336" s="25"/>
      <c r="O2336" s="195"/>
    </row>
    <row r="2337" spans="1:17" ht="15.95" customHeight="1" x14ac:dyDescent="0.25">
      <c r="A2337" s="121"/>
      <c r="B2337" s="23"/>
      <c r="C2337" s="278" t="s">
        <v>33</v>
      </c>
      <c r="D2337" s="408"/>
      <c r="E2337" s="74"/>
      <c r="F2337" s="483">
        <f>+E2335*$J$2294</f>
        <v>0</v>
      </c>
      <c r="G2337" s="484"/>
      <c r="H2337" s="48">
        <f>+$D$2348</f>
        <v>44680</v>
      </c>
      <c r="I2337" s="70"/>
      <c r="J2337" s="49"/>
      <c r="K2337" s="49"/>
      <c r="L2337" s="50">
        <f>+D2350</f>
        <v>65000000</v>
      </c>
      <c r="M2337" s="93">
        <f>-L2337</f>
        <v>-65000000</v>
      </c>
      <c r="N2337" s="25"/>
      <c r="O2337" s="195"/>
    </row>
    <row r="2338" spans="1:17" ht="15.95" customHeight="1" x14ac:dyDescent="0.25">
      <c r="A2338" s="121"/>
      <c r="B2338" s="23"/>
      <c r="C2338" s="59" t="s">
        <v>34</v>
      </c>
      <c r="D2338" s="675" t="s">
        <v>35</v>
      </c>
      <c r="E2338" s="676"/>
      <c r="F2338" s="483"/>
      <c r="G2338" s="484"/>
      <c r="H2338" s="51">
        <f>IF(DAY(H2337)=DAY($H$2337),IF(WEEKDAY(EDATE(H2337,$D$2351),3)&lt;5,EDATE(H2337,$D$2351),WORKDAY(EDATE(H2337,$D$2351),1)),IF(WEEKDAY(EDATE($H$2337,$D$2351*COUNT($H$2337:H2337)),3)&lt;5,EDATE($H$2337,$D$2351*COUNT($H$2337:H2337)),WORKDAY(EDATE($H$2337,$D$2351*COUNT($H$2337:H2337)),1)))</f>
        <v>44865</v>
      </c>
      <c r="I2338" s="71" t="s">
        <v>13</v>
      </c>
      <c r="J2338" s="52">
        <f>(IF(AND($D$2354&lt;&gt;"",$D$2354&gt;(AVERAGE(VLOOKUP(WORKDAY.INTL(H2338,-7,1,),'Tasas-TC'!A:B,2,FALSE),VLOOKUP(WORKDAY.INTL(H2337,-7,1,),'Tasas-TC'!A:B,2,FALSE))+$D$2353)),$D$2354,IF(AND($D$2355&lt;&gt;"",$D$2355&lt;(AVERAGE(VLOOKUP(WORKDAY.INTL(H2338,-7,1,),'Tasas-TC'!A:B,2,FALSE),VLOOKUP(WORKDAY.INTL(H2337,-7,1,),'Tasas-TC'!A:B,2,FALSE))+$D$2353)),$D$2355,(AVERAGE(VLOOKUP(WORKDAY.INTL(H2338,-7,1,),'Tasas-TC'!A:B,2,FALSE),VLOOKUP(WORKDAY.INTL(H2337,-7,1,),'Tasas-TC'!A:B,2,FALSE))+$D$2353)))/360)*(H2338-H2337)*L2337</f>
        <v>20615776.90972222</v>
      </c>
      <c r="K2338" s="52">
        <f>+IF(OR(I2338="A + C",I2338="A"),$D$2350*$D$2356,0)</f>
        <v>9750000</v>
      </c>
      <c r="L2338" s="53">
        <f t="shared" ref="L2338:L2343" si="229">+L2337-K2338</f>
        <v>55250000</v>
      </c>
      <c r="M2338" s="94">
        <f t="shared" ref="M2338:M2343" si="230">+J2338+K2338</f>
        <v>30365776.90972222</v>
      </c>
      <c r="N2338" s="25"/>
      <c r="O2338" s="194" t="str">
        <f>+D2486</f>
        <v>ON Pyme CNV Garantizada</v>
      </c>
    </row>
    <row r="2339" spans="1:17" ht="15.95" customHeight="1" x14ac:dyDescent="0.25">
      <c r="A2339" s="121"/>
      <c r="B2339" s="23"/>
      <c r="C2339" s="79" t="s">
        <v>38</v>
      </c>
      <c r="D2339" s="75"/>
      <c r="E2339" s="76"/>
      <c r="F2339" s="483"/>
      <c r="G2339" s="484"/>
      <c r="H2339" s="51">
        <f>IF(DAY(H2338)=DAY($H$2337),IF(WEEKDAY(EDATE(H2338,$D$2351),3)&lt;5,EDATE(H2338,$D$2351),WORKDAY(EDATE(H2338,$D$2351),1)),IF(WEEKDAY(EDATE($H$2337,$D$2351*COUNT($H$2337:H2338)),3)&lt;5,EDATE($H$2337,$D$2351*COUNT($H$2337:H2338)),WORKDAY(EDATE($H$2337,$D$2351*COUNT($H$2337:H2338)),1)))</f>
        <v>45047</v>
      </c>
      <c r="I2339" s="71" t="s">
        <v>13</v>
      </c>
      <c r="J2339" s="52">
        <f>(IF(AND($D$2354&lt;&gt;"",$D$2354&gt;(AVERAGE(VLOOKUP(WORKDAY.INTL(H2339,-7,1,),'Tasas-TC'!A:B,2,FALSE),VLOOKUP(WORKDAY.INTL(H2338,-7,1,),'Tasas-TC'!A:B,2,FALSE))+$D$2353)),$D$2354,IF(AND($D$2355&lt;&gt;"",$D$2355&lt;(AVERAGE(VLOOKUP(WORKDAY.INTL(H2339,-7,1,),'Tasas-TC'!A:B,2,FALSE),VLOOKUP(WORKDAY.INTL(H2338,-7,1,),'Tasas-TC'!A:B,2,FALSE))+$D$2353)),$D$2355,(AVERAGE(VLOOKUP(WORKDAY.INTL(H2339,-7,1,),'Tasas-TC'!A:B,2,FALSE),VLOOKUP(WORKDAY.INTL(H2338,-7,1,),'Tasas-TC'!A:B,2,FALSE))+$D$2353)))/360)*(H2339-H2338)*L2338</f>
        <v>21254463.975694444</v>
      </c>
      <c r="K2339" s="52">
        <f>+IF(OR(I2339="A + C",I2339="A"),$D$2350*$D$2356,0)</f>
        <v>9750000</v>
      </c>
      <c r="L2339" s="53">
        <f t="shared" si="229"/>
        <v>45500000</v>
      </c>
      <c r="M2339" s="94">
        <f t="shared" si="230"/>
        <v>31004463.975694444</v>
      </c>
      <c r="N2339" s="25"/>
      <c r="O2339" s="195"/>
    </row>
    <row r="2340" spans="1:17" ht="15.95" customHeight="1" x14ac:dyDescent="0.25">
      <c r="A2340" s="121"/>
      <c r="B2340" s="23"/>
      <c r="C2340" s="59"/>
      <c r="D2340" s="73"/>
      <c r="E2340" s="74"/>
      <c r="F2340" s="483"/>
      <c r="G2340" s="484"/>
      <c r="H2340" s="51">
        <f>IF(DAY(H2339)=DAY($H$2337),IF(WEEKDAY(EDATE(H2339,$D$2351),3)&lt;5,EDATE(H2339,$D$2351),WORKDAY(EDATE(H2339,$D$2351),1)),IF(WEEKDAY(EDATE($H$2337,$D$2351*COUNT($H$2337:H2339)),3)&lt;5,EDATE($H$2337,$D$2351*COUNT($H$2337:H2339)),WORKDAY(EDATE($H$2337,$D$2351*COUNT($H$2337:H2339)),1)))</f>
        <v>45229</v>
      </c>
      <c r="I2340" s="71" t="s">
        <v>13</v>
      </c>
      <c r="J2340" s="52">
        <f>(IF(AND($D$2354&lt;&gt;"",$D$2354&gt;(AVERAGE(VLOOKUP(WORKDAY.INTL(H2340,-7,1,),'Tasas-TC'!A:B,2,FALSE),VLOOKUP(WORKDAY.INTL(H2339,-7,1,),'Tasas-TC'!A:B,2,FALSE))+$D$2353)),$D$2354,IF(AND($D$2355&lt;&gt;"",$D$2355&lt;(AVERAGE(VLOOKUP(WORKDAY.INTL(H2340,-7,1,),'Tasas-TC'!A:B,2,FALSE),VLOOKUP(WORKDAY.INTL(H2339,-7,1,),'Tasas-TC'!A:B,2,FALSE))+$D$2353)),$D$2355,(AVERAGE(VLOOKUP(WORKDAY.INTL(H2340,-7,1,),'Tasas-TC'!A:B,2,FALSE),VLOOKUP(WORKDAY.INTL(H2339,-7,1,),'Tasas-TC'!A:B,2,FALSE))+$D$2353)))/360)*(H2340-H2339)*L2339</f>
        <v>22751184.895833332</v>
      </c>
      <c r="K2340" s="52">
        <f>+IF(OR(I2340="A + C",I2340="A"),$D$2350*$D$2356,0)</f>
        <v>9750000</v>
      </c>
      <c r="L2340" s="53">
        <f t="shared" si="229"/>
        <v>35750000</v>
      </c>
      <c r="M2340" s="94">
        <f t="shared" si="230"/>
        <v>32501184.895833332</v>
      </c>
      <c r="N2340" s="25"/>
      <c r="O2340" s="194" t="str">
        <f>+IF(J2484="vencida",IF(D2486='Reporte - Oscuro'!$C$40,'Reporte - Oscuro'!$C$40&amp;" vencida",IF(D2486='Reporte - Oscuro'!$C$41,'Reporte - Oscuro'!$C$41&amp;" vencida",IF(D2486='Reporte - Oscuro'!$C$42,'Reporte - Oscuro'!$C$42&amp;" vencida",'Reporte - Oscuro'!$C$43&amp;" vencida"))),D2486&amp;" vigente")</f>
        <v>ON Pyme CNV Garantizada vencida</v>
      </c>
    </row>
    <row r="2341" spans="1:17" ht="15.95" customHeight="1" x14ac:dyDescent="0.25">
      <c r="A2341" s="121"/>
      <c r="B2341" s="32"/>
      <c r="C2341" s="60"/>
      <c r="D2341" s="77"/>
      <c r="E2341" s="78"/>
      <c r="F2341" s="483"/>
      <c r="G2341" s="484"/>
      <c r="H2341" s="51">
        <f>IF(DAY(H2340)=DAY($H$2337),IF(WEEKDAY(EDATE(H2340,$D$2351),3)&lt;5,EDATE(H2340,$D$2351),WORKDAY(EDATE(H2340,$D$2351),1)),IF(WEEKDAY(EDATE($H$2337,$D$2351*COUNT($H$2337:H2340)),3)&lt;5,EDATE($H$2337,$D$2351*COUNT($H$2337:H2340)),WORKDAY(EDATE($H$2337,$D$2351*COUNT($H$2337:H2340)),1)))</f>
        <v>45411</v>
      </c>
      <c r="I2341" s="71" t="s">
        <v>13</v>
      </c>
      <c r="J2341" s="52">
        <f>(IF(AND($D$2354&lt;&gt;"",$D$2354&gt;(AVERAGE(VLOOKUP(WORKDAY.INTL(H2341,-7,1,),'Tasas-TC'!A:B,2,FALSE),VLOOKUP(WORKDAY.INTL(H2340,-7,1,),'Tasas-TC'!A:B,2,FALSE))+$D$2353)),$D$2354,IF(AND($D$2355&lt;&gt;"",$D$2355&lt;(AVERAGE(VLOOKUP(WORKDAY.INTL(H2341,-7,1,),'Tasas-TC'!A:B,2,FALSE),VLOOKUP(WORKDAY.INTL(H2340,-7,1,),'Tasas-TC'!A:B,2,FALSE))+$D$2353)),$D$2355,(AVERAGE(VLOOKUP(WORKDAY.INTL(H2341,-7,1,),'Tasas-TC'!A:B,2,FALSE),VLOOKUP(WORKDAY.INTL(H2340,-7,1,),'Tasas-TC'!A:B,2,FALSE))+$D$2353)))/360)*(H2341-H2340)*L2340</f>
        <v>17734730.902777776</v>
      </c>
      <c r="K2341" s="52">
        <f>+IF(OR(I2341="A + C",I2341="A"),$D$2350*$D$2356,0)</f>
        <v>9750000</v>
      </c>
      <c r="L2341" s="53">
        <f t="shared" si="229"/>
        <v>26000000</v>
      </c>
      <c r="M2341" s="94">
        <f t="shared" si="230"/>
        <v>27484730.902777776</v>
      </c>
      <c r="N2341" s="25"/>
      <c r="O2341" s="195"/>
    </row>
    <row r="2342" spans="1:17" ht="15.95" customHeight="1" x14ac:dyDescent="0.25">
      <c r="A2342" s="121"/>
      <c r="B2342" s="23"/>
      <c r="C2342" s="60"/>
      <c r="D2342" s="275" t="str">
        <f>+B2328</f>
        <v>Tresnal Agropecuaria II</v>
      </c>
      <c r="E2342" s="276"/>
      <c r="F2342" s="483"/>
      <c r="G2342" s="484">
        <f>+J2330</f>
        <v>0</v>
      </c>
      <c r="H2342" s="51">
        <f>IF(DAY(H2341)=DAY($H$2337),IF(WEEKDAY(EDATE(H2341,$D$2351),3)&lt;5,EDATE(H2341,$D$2351),WORKDAY(EDATE(H2341,$D$2351),1)),IF(WEEKDAY(EDATE($H$2337,$D$2351*COUNT($H$2337:H2341)),3)&lt;5,EDATE($H$2337,$D$2351*COUNT($H$2337:H2341)),WORKDAY(EDATE($H$2337,$D$2351*COUNT($H$2337:H2341)),1)))</f>
        <v>45594</v>
      </c>
      <c r="I2342" s="71" t="s">
        <v>13</v>
      </c>
      <c r="J2342" s="52">
        <f>(IF(AND($D$2354&lt;&gt;"",$D$2354&gt;(AVERAGE(VLOOKUP(WORKDAY.INTL(H2342,-7,1,),'Tasas-TC'!A:B,2,FALSE),VLOOKUP(WORKDAY.INTL(H2341,-7,1,),'Tasas-TC'!A:B,2,FALSE))+$D$2353)),$D$2354,IF(AND($D$2355&lt;&gt;"",$D$2355&lt;(AVERAGE(VLOOKUP(WORKDAY.INTL(H2342,-7,1,),'Tasas-TC'!A:B,2,FALSE),VLOOKUP(WORKDAY.INTL(H2341,-7,1,),'Tasas-TC'!A:B,2,FALSE))+$D$2353)),$D$2355,(AVERAGE(VLOOKUP(WORKDAY.INTL(H2342,-7,1,),'Tasas-TC'!A:B,2,FALSE),VLOOKUP(WORKDAY.INTL(H2341,-7,1,),'Tasas-TC'!A:B,2,FALSE))+$D$2353)))/360)*(H2342-H2341)*L2341</f>
        <v>8070427.083333333</v>
      </c>
      <c r="K2342" s="52">
        <f>+IF(OR(I2342="A + C",I2342="A"),$D$2350*$D$2356,0)</f>
        <v>9750000</v>
      </c>
      <c r="L2342" s="53">
        <f t="shared" si="229"/>
        <v>16250000</v>
      </c>
      <c r="M2342" s="94">
        <f t="shared" si="230"/>
        <v>17820427.083333332</v>
      </c>
      <c r="N2342" s="25"/>
      <c r="O2342" s="195"/>
    </row>
    <row r="2343" spans="1:17" ht="15.95" customHeight="1" x14ac:dyDescent="0.25">
      <c r="A2343" s="121"/>
      <c r="B2343" s="23"/>
      <c r="D2343" s="277"/>
      <c r="E2343" s="277"/>
      <c r="F2343" s="483"/>
      <c r="G2343" s="484"/>
      <c r="H2343" s="51">
        <f>IF(DAY(H2342)=DAY($H$2337),IF(WEEKDAY(EDATE(H2342,$D$2351),3)&lt;5,EDATE(H2342,$D$2351),WORKDAY(EDATE(H2342,$D$2351),1)),IF(WEEKDAY(EDATE($H$2337,$D$2351*COUNT($H$2337:H2342)),3)&lt;5,EDATE($H$2337,$D$2351*COUNT($H$2337:H2342)),WORKDAY(EDATE($H$2337,$D$2351*COUNT($H$2337:H2342)),1)))</f>
        <v>45776</v>
      </c>
      <c r="I2343" s="71" t="s">
        <v>13</v>
      </c>
      <c r="J2343" s="52">
        <f>(IF(AND($D$2354&lt;&gt;"",$D$2354&gt;(AVERAGE(VLOOKUP(WORKDAY.INTL(H2343,-7,1,),'Tasas-TC'!A:B,2,FALSE),VLOOKUP(WORKDAY.INTL(H2342,-7,1,),'Tasas-TC'!A:B,2,FALSE))+$D$2353)),$D$2354,IF(AND($D$2355&lt;&gt;"",$D$2355&lt;(AVERAGE(VLOOKUP(WORKDAY.INTL(H2343,-7,1,),'Tasas-TC'!A:B,2,FALSE),VLOOKUP(WORKDAY.INTL(H2342,-7,1,),'Tasas-TC'!A:B,2,FALSE))+$D$2353)),$D$2355,(AVERAGE(VLOOKUP(WORKDAY.INTL(H2343,-7,1,),'Tasas-TC'!A:B,2,FALSE),VLOOKUP(WORKDAY.INTL(H2342,-7,1,),'Tasas-TC'!A:B,2,FALSE))+$D$2353)))/360)*(H2343-H2342)*L2342</f>
        <v>3386234.809027778</v>
      </c>
      <c r="K2343" s="52">
        <f>+IF(OR(I2343="A + C",I2343="A"),$D$2350*$D$2357,0)</f>
        <v>16250000</v>
      </c>
      <c r="L2343" s="53">
        <f t="shared" si="229"/>
        <v>0</v>
      </c>
      <c r="M2343" s="94">
        <f t="shared" si="230"/>
        <v>19636234.809027776</v>
      </c>
      <c r="N2343" s="25"/>
      <c r="O2343" s="195"/>
    </row>
    <row r="2344" spans="1:17" ht="15.95" customHeight="1" x14ac:dyDescent="0.25">
      <c r="A2344" s="121"/>
      <c r="B2344" s="23"/>
      <c r="C2344" s="638" t="s">
        <v>36</v>
      </c>
      <c r="D2344" s="640"/>
      <c r="E2344" s="36"/>
      <c r="F2344" s="483"/>
      <c r="G2344" s="484"/>
      <c r="H2344" s="54"/>
      <c r="I2344" s="61"/>
      <c r="J2344" s="55"/>
      <c r="K2344" s="56"/>
      <c r="L2344" s="57"/>
      <c r="M2344" s="95"/>
      <c r="N2344" s="25"/>
      <c r="O2344" s="195"/>
    </row>
    <row r="2345" spans="1:17" x14ac:dyDescent="0.25">
      <c r="A2345" s="121"/>
      <c r="B2345" s="23"/>
      <c r="C2345" s="59"/>
      <c r="D2345" s="62"/>
      <c r="E2345" s="36"/>
      <c r="F2345" s="483"/>
      <c r="G2345" s="484"/>
      <c r="H2345" s="24"/>
      <c r="I2345" s="24"/>
      <c r="J2345" s="24"/>
      <c r="K2345" s="24"/>
      <c r="L2345" s="24"/>
      <c r="M2345" s="24"/>
      <c r="N2345" s="25"/>
      <c r="O2345" s="197">
        <f>+M2489</f>
        <v>-8000000</v>
      </c>
      <c r="P2345" s="197">
        <f>-M2489</f>
        <v>8000000</v>
      </c>
      <c r="Q2345" s="197"/>
    </row>
    <row r="2346" spans="1:17" ht="15" x14ac:dyDescent="0.25">
      <c r="A2346" s="121"/>
      <c r="B2346" s="23"/>
      <c r="C2346" s="59" t="s">
        <v>9</v>
      </c>
      <c r="D2346" s="98" t="s">
        <v>18</v>
      </c>
      <c r="E2346" s="36"/>
      <c r="F2346" s="483"/>
      <c r="G2346" s="484"/>
      <c r="H2346" s="656" t="s">
        <v>43</v>
      </c>
      <c r="I2346" s="656"/>
      <c r="J2346" s="92">
        <f>+J2330+(L2343*($P$4+D2353)*($M$4-H2343)/365)</f>
        <v>0</v>
      </c>
      <c r="K2346" s="92"/>
      <c r="L2346" s="24"/>
      <c r="M2346" s="24"/>
      <c r="N2346" s="25"/>
      <c r="O2346" s="197">
        <f t="shared" ref="O2346:O2357" si="231">+M2490+O2345</f>
        <v>-6200355.555555556</v>
      </c>
      <c r="P2346" s="197">
        <f t="shared" ref="P2346:P2357" si="232">+(M2490/(1+$J$2505)^((H2490-$H$2489)/365))/$P$2345</f>
        <v>0.22495555555555552</v>
      </c>
      <c r="Q2346" s="197">
        <f t="shared" ref="Q2346:Q2357" si="233">+P2346*((H2490-$H$2489)/365)</f>
        <v>5.608480974124809E-2</v>
      </c>
    </row>
    <row r="2347" spans="1:17" ht="15" x14ac:dyDescent="0.25">
      <c r="A2347" s="121"/>
      <c r="B2347" s="23"/>
      <c r="C2347" s="59" t="s">
        <v>10</v>
      </c>
      <c r="D2347" s="65">
        <v>44679</v>
      </c>
      <c r="E2347" s="36"/>
      <c r="F2347" s="483"/>
      <c r="G2347" s="485"/>
      <c r="H2347" s="657"/>
      <c r="I2347" s="657"/>
      <c r="J2347" s="392"/>
      <c r="K2347" s="24"/>
      <c r="L2347" s="33"/>
      <c r="M2347" s="33"/>
      <c r="N2347" s="25"/>
      <c r="O2347" s="197">
        <f t="shared" si="231"/>
        <v>-4486468.3736111112</v>
      </c>
      <c r="P2347" s="197">
        <f t="shared" si="232"/>
        <v>0.21423589774305554</v>
      </c>
      <c r="Q2347" s="197">
        <f t="shared" si="233"/>
        <v>0.10682447503900304</v>
      </c>
    </row>
    <row r="2348" spans="1:17" x14ac:dyDescent="0.25">
      <c r="A2348" s="121"/>
      <c r="B2348" s="23"/>
      <c r="C2348" s="59" t="s">
        <v>11</v>
      </c>
      <c r="D2348" s="65">
        <v>44680</v>
      </c>
      <c r="E2348" s="36"/>
      <c r="F2348" s="480"/>
      <c r="G2348" s="485"/>
      <c r="H2348" s="24"/>
      <c r="I2348" s="24"/>
      <c r="J2348" s="24"/>
      <c r="K2348" s="24"/>
      <c r="L2348" s="24"/>
      <c r="M2348" s="24"/>
      <c r="N2348" s="25"/>
      <c r="O2348" s="197">
        <f t="shared" si="231"/>
        <v>-2777779.9458333338</v>
      </c>
      <c r="P2348" s="197">
        <f t="shared" si="232"/>
        <v>0.21358605347222218</v>
      </c>
      <c r="Q2348" s="197">
        <f t="shared" si="233"/>
        <v>0.15975066465182647</v>
      </c>
    </row>
    <row r="2349" spans="1:17" ht="15" x14ac:dyDescent="0.25">
      <c r="A2349" s="121"/>
      <c r="B2349" s="23"/>
      <c r="C2349" s="59" t="s">
        <v>12</v>
      </c>
      <c r="D2349" s="65">
        <v>45776</v>
      </c>
      <c r="E2349" s="36"/>
      <c r="F2349" s="480"/>
      <c r="G2349" s="485"/>
      <c r="H2349" s="638" t="s">
        <v>44</v>
      </c>
      <c r="I2349" s="639"/>
      <c r="J2349" s="639"/>
      <c r="K2349" s="639"/>
      <c r="L2349" s="639"/>
      <c r="M2349" s="640"/>
      <c r="N2349" s="25"/>
      <c r="O2349" s="197">
        <f t="shared" si="231"/>
        <v>-1237292.0513888893</v>
      </c>
      <c r="P2349" s="197">
        <f t="shared" si="232"/>
        <v>0.19256098680555556</v>
      </c>
      <c r="Q2349" s="197">
        <f t="shared" si="233"/>
        <v>0.19256098680555556</v>
      </c>
    </row>
    <row r="2350" spans="1:17" x14ac:dyDescent="0.25">
      <c r="A2350" s="121"/>
      <c r="B2350" s="23"/>
      <c r="C2350" s="59" t="s">
        <v>27</v>
      </c>
      <c r="D2350" s="66">
        <v>65000000</v>
      </c>
      <c r="E2350" s="41"/>
      <c r="F2350" s="480"/>
      <c r="G2350" s="485"/>
      <c r="H2350" s="23"/>
      <c r="I2350" s="24"/>
      <c r="J2350" s="24"/>
      <c r="K2350" s="24"/>
      <c r="L2350" s="24"/>
      <c r="M2350" s="25"/>
      <c r="N2350" s="25"/>
      <c r="O2350" s="197">
        <f t="shared" si="231"/>
        <v>-25152.706944444915</v>
      </c>
      <c r="P2350" s="197">
        <f t="shared" si="232"/>
        <v>0.15151741805555555</v>
      </c>
      <c r="Q2350" s="197">
        <f t="shared" si="233"/>
        <v>0.18929299351598172</v>
      </c>
    </row>
    <row r="2351" spans="1:17" x14ac:dyDescent="0.25">
      <c r="A2351" s="121"/>
      <c r="B2351" s="23"/>
      <c r="C2351" s="59" t="s">
        <v>26</v>
      </c>
      <c r="D2351" s="66">
        <v>6</v>
      </c>
      <c r="E2351" s="36"/>
      <c r="F2351" s="480"/>
      <c r="G2351" s="485"/>
      <c r="H2351" s="23"/>
      <c r="I2351" s="24"/>
      <c r="J2351" s="24"/>
      <c r="K2351" s="24"/>
      <c r="L2351" s="24"/>
      <c r="M2351" s="25"/>
      <c r="N2351" s="25"/>
      <c r="O2351" s="197">
        <f t="shared" si="231"/>
        <v>1044365.8763888886</v>
      </c>
      <c r="P2351" s="197">
        <f t="shared" si="232"/>
        <v>0.13368982291666667</v>
      </c>
      <c r="Q2351" s="197">
        <f t="shared" si="233"/>
        <v>0.20035159763127855</v>
      </c>
    </row>
    <row r="2352" spans="1:17" x14ac:dyDescent="0.25">
      <c r="A2352" s="121"/>
      <c r="B2352" s="23"/>
      <c r="C2352" s="59" t="s">
        <v>19</v>
      </c>
      <c r="D2352" s="67" t="s">
        <v>20</v>
      </c>
      <c r="E2352" s="43"/>
      <c r="F2352" s="480"/>
      <c r="G2352" s="485"/>
      <c r="H2352" s="96"/>
      <c r="I2352" s="35"/>
      <c r="J2352" s="24"/>
      <c r="K2352" s="24"/>
      <c r="L2352" s="24"/>
      <c r="M2352" s="25"/>
      <c r="N2352" s="25"/>
      <c r="O2352" s="197">
        <f t="shared" si="231"/>
        <v>2060120.1430555552</v>
      </c>
      <c r="P2352" s="197">
        <f t="shared" si="232"/>
        <v>0.12696928333333332</v>
      </c>
      <c r="Q2352" s="197">
        <f t="shared" si="233"/>
        <v>0.22228321109589039</v>
      </c>
    </row>
    <row r="2353" spans="1:17" x14ac:dyDescent="0.25">
      <c r="A2353" s="121"/>
      <c r="B2353" s="23"/>
      <c r="C2353" s="59" t="s">
        <v>14</v>
      </c>
      <c r="D2353" s="68">
        <v>0.05</v>
      </c>
      <c r="E2353" s="43"/>
      <c r="F2353" s="480"/>
      <c r="G2353" s="485"/>
      <c r="H2353" s="23"/>
      <c r="I2353" s="24"/>
      <c r="J2353" s="24"/>
      <c r="K2353" s="24"/>
      <c r="L2353" s="24"/>
      <c r="M2353" s="25"/>
      <c r="N2353" s="25"/>
      <c r="O2353" s="197">
        <f t="shared" si="231"/>
        <v>3017689.0097222216</v>
      </c>
      <c r="P2353" s="197">
        <f t="shared" si="232"/>
        <v>0.11969610833333334</v>
      </c>
      <c r="Q2353" s="197">
        <f t="shared" si="233"/>
        <v>0.2397201512100457</v>
      </c>
    </row>
    <row r="2354" spans="1:17" x14ac:dyDescent="0.25">
      <c r="A2354" s="121"/>
      <c r="B2354" s="23"/>
      <c r="C2354" s="59" t="s">
        <v>31</v>
      </c>
      <c r="D2354" s="68"/>
      <c r="E2354" s="43"/>
      <c r="F2354" s="480"/>
      <c r="G2354" s="485"/>
      <c r="H2354" s="23"/>
      <c r="I2354" s="24"/>
      <c r="J2354" s="24"/>
      <c r="K2354" s="24"/>
      <c r="L2354" s="24"/>
      <c r="M2354" s="25"/>
      <c r="N2354" s="25"/>
      <c r="O2354" s="197">
        <f t="shared" si="231"/>
        <v>3912025.0097222216</v>
      </c>
      <c r="P2354" s="197">
        <f t="shared" si="232"/>
        <v>0.111792</v>
      </c>
      <c r="Q2354" s="197">
        <f t="shared" si="233"/>
        <v>0.25145543013698635</v>
      </c>
    </row>
    <row r="2355" spans="1:17" x14ac:dyDescent="0.25">
      <c r="A2355" s="121"/>
      <c r="B2355" s="23"/>
      <c r="C2355" s="59" t="s">
        <v>32</v>
      </c>
      <c r="D2355" s="68"/>
      <c r="E2355" s="44"/>
      <c r="F2355" s="480"/>
      <c r="G2355" s="485"/>
      <c r="H2355" s="23"/>
      <c r="I2355" s="24"/>
      <c r="J2355" s="24"/>
      <c r="K2355" s="24"/>
      <c r="L2355" s="24"/>
      <c r="M2355" s="25"/>
      <c r="N2355" s="25"/>
      <c r="O2355" s="197">
        <f t="shared" si="231"/>
        <v>4751331.7930555549</v>
      </c>
      <c r="P2355" s="197">
        <f t="shared" si="232"/>
        <v>0.10491334791666666</v>
      </c>
      <c r="Q2355" s="197">
        <f t="shared" si="233"/>
        <v>0.26213965287671231</v>
      </c>
    </row>
    <row r="2356" spans="1:17" x14ac:dyDescent="0.25">
      <c r="A2356" s="121"/>
      <c r="B2356" s="23"/>
      <c r="C2356" s="59" t="s">
        <v>42</v>
      </c>
      <c r="D2356" s="69">
        <v>0.15</v>
      </c>
      <c r="E2356" s="24"/>
      <c r="F2356" s="480"/>
      <c r="G2356" s="485"/>
      <c r="H2356" s="23"/>
      <c r="I2356" s="24"/>
      <c r="J2356" s="24"/>
      <c r="K2356" s="24"/>
      <c r="L2356" s="24"/>
      <c r="M2356" s="25"/>
      <c r="N2356" s="25"/>
      <c r="O2356" s="197">
        <f t="shared" si="231"/>
        <v>5531144.4597222218</v>
      </c>
      <c r="P2356" s="197">
        <f t="shared" si="232"/>
        <v>9.7476583333333325E-2</v>
      </c>
      <c r="Q2356" s="197">
        <f t="shared" si="233"/>
        <v>0.26812736894977163</v>
      </c>
    </row>
    <row r="2357" spans="1:17" x14ac:dyDescent="0.25">
      <c r="A2357" s="121"/>
      <c r="B2357" s="23"/>
      <c r="C2357" s="59" t="s">
        <v>55</v>
      </c>
      <c r="D2357" s="69">
        <v>0.25</v>
      </c>
      <c r="E2357" s="24"/>
      <c r="F2357" s="480"/>
      <c r="G2357" s="485"/>
      <c r="H2357" s="23"/>
      <c r="I2357" s="24"/>
      <c r="J2357" s="24"/>
      <c r="K2357" s="24"/>
      <c r="L2357" s="24"/>
      <c r="M2357" s="25"/>
      <c r="N2357" s="25"/>
      <c r="O2357" s="197">
        <f t="shared" si="231"/>
        <v>6253050.7930555549</v>
      </c>
      <c r="P2357" s="197">
        <f t="shared" si="232"/>
        <v>9.0238291666666678E-2</v>
      </c>
      <c r="Q2357" s="197">
        <f t="shared" si="233"/>
        <v>0.27096210319634706</v>
      </c>
    </row>
    <row r="2358" spans="1:17" x14ac:dyDescent="0.25">
      <c r="A2358" s="121"/>
      <c r="B2358" s="23"/>
      <c r="C2358" s="63"/>
      <c r="D2358" s="64"/>
      <c r="E2358" s="24"/>
      <c r="F2358" s="480"/>
      <c r="G2358" s="485"/>
      <c r="H2358" s="23"/>
      <c r="I2358" s="24"/>
      <c r="J2358" s="24"/>
      <c r="K2358" s="24"/>
      <c r="L2358" s="24"/>
      <c r="M2358" s="25"/>
      <c r="N2358" s="25"/>
      <c r="O2358" s="195"/>
    </row>
    <row r="2359" spans="1:17" x14ac:dyDescent="0.25">
      <c r="A2359" s="121"/>
      <c r="B2359" s="23"/>
      <c r="C2359" s="24"/>
      <c r="D2359" s="24"/>
      <c r="E2359" s="24"/>
      <c r="F2359" s="480"/>
      <c r="G2359" s="485"/>
      <c r="H2359" s="23"/>
      <c r="I2359" s="24"/>
      <c r="J2359" s="24"/>
      <c r="K2359" s="24"/>
      <c r="L2359" s="24"/>
      <c r="M2359" s="25"/>
      <c r="N2359" s="25"/>
      <c r="O2359" s="195"/>
    </row>
    <row r="2360" spans="1:17" x14ac:dyDescent="0.25">
      <c r="A2360" s="121"/>
      <c r="B2360" s="23"/>
      <c r="C2360" s="24"/>
      <c r="D2360" s="24"/>
      <c r="E2360" s="24"/>
      <c r="F2360" s="480"/>
      <c r="G2360" s="485"/>
      <c r="H2360" s="23"/>
      <c r="I2360" s="24"/>
      <c r="J2360" s="24"/>
      <c r="K2360" s="24"/>
      <c r="L2360" s="24"/>
      <c r="M2360" s="25"/>
      <c r="N2360" s="25"/>
      <c r="O2360" s="195"/>
    </row>
    <row r="2361" spans="1:17" x14ac:dyDescent="0.25">
      <c r="A2361" s="121"/>
      <c r="B2361" s="23"/>
      <c r="C2361" s="24"/>
      <c r="D2361" s="24"/>
      <c r="E2361" s="24"/>
      <c r="F2361" s="480"/>
      <c r="G2361" s="485"/>
      <c r="H2361" s="26"/>
      <c r="I2361" s="27"/>
      <c r="J2361" s="27"/>
      <c r="K2361" s="27"/>
      <c r="L2361" s="27"/>
      <c r="M2361" s="28"/>
      <c r="N2361" s="25"/>
      <c r="O2361" s="195"/>
    </row>
    <row r="2362" spans="1:17" x14ac:dyDescent="0.25">
      <c r="A2362" s="121"/>
      <c r="B2362" s="26"/>
      <c r="C2362" s="27"/>
      <c r="D2362" s="27"/>
      <c r="E2362" s="27"/>
      <c r="F2362" s="481"/>
      <c r="G2362" s="486"/>
      <c r="H2362" s="27"/>
      <c r="I2362" s="27"/>
      <c r="J2362" s="27"/>
      <c r="K2362" s="27"/>
      <c r="L2362" s="27"/>
      <c r="M2362" s="27"/>
      <c r="N2362" s="28"/>
      <c r="O2362" s="195"/>
    </row>
    <row r="2363" spans="1:17" x14ac:dyDescent="0.25">
      <c r="A2363" s="121"/>
      <c r="B2363" s="23"/>
      <c r="C2363" s="24"/>
      <c r="D2363" s="24"/>
      <c r="E2363" s="24"/>
      <c r="F2363" s="480"/>
      <c r="G2363" s="480"/>
      <c r="H2363" s="24"/>
      <c r="I2363" s="24"/>
      <c r="J2363" s="24"/>
      <c r="K2363" s="24"/>
      <c r="L2363" s="24"/>
      <c r="M2363" s="24"/>
      <c r="N2363" s="25"/>
      <c r="O2363" s="195"/>
    </row>
    <row r="2364" spans="1:17" ht="18.75" x14ac:dyDescent="0.25">
      <c r="A2364" s="121"/>
      <c r="B2364" s="661" t="s">
        <v>190</v>
      </c>
      <c r="C2364" s="662"/>
      <c r="D2364" s="662"/>
      <c r="E2364" s="662"/>
      <c r="F2364" s="662"/>
      <c r="G2364" s="662"/>
      <c r="H2364" s="662"/>
      <c r="I2364" s="662"/>
      <c r="J2364" s="662"/>
      <c r="K2364" s="662"/>
      <c r="L2364" s="662"/>
      <c r="M2364" s="662"/>
      <c r="N2364" s="663"/>
      <c r="O2364" s="195"/>
    </row>
    <row r="2365" spans="1:17" x14ac:dyDescent="0.25">
      <c r="A2365" s="121"/>
      <c r="B2365" s="23"/>
      <c r="C2365" s="24"/>
      <c r="D2365" s="24"/>
      <c r="E2365" s="24"/>
      <c r="F2365" s="483"/>
      <c r="G2365" s="484"/>
      <c r="H2365" s="31"/>
      <c r="I2365" s="31"/>
      <c r="J2365" s="24"/>
      <c r="K2365" s="24"/>
      <c r="L2365" s="24"/>
      <c r="M2365" s="24"/>
      <c r="N2365" s="25"/>
      <c r="O2365" s="195"/>
    </row>
    <row r="2366" spans="1:17" ht="15" x14ac:dyDescent="0.25">
      <c r="A2366" s="121"/>
      <c r="B2366" s="23"/>
      <c r="C2366" s="638" t="s">
        <v>37</v>
      </c>
      <c r="D2366" s="639"/>
      <c r="E2366" s="640"/>
      <c r="F2366" s="483"/>
      <c r="G2366" s="484"/>
      <c r="H2366" s="641" t="s">
        <v>28</v>
      </c>
      <c r="I2366" s="642"/>
      <c r="J2366" s="39">
        <f t="array" ref="J2366">+$D$2384-SUMIF($H$2372:$H$2386,"&lt;"&amp;$M$4,$K$2372:$K$2386)</f>
        <v>0</v>
      </c>
      <c r="K2366" s="24"/>
      <c r="L2366" s="24"/>
      <c r="M2366" s="24"/>
      <c r="N2366" s="25"/>
      <c r="O2366" s="195"/>
    </row>
    <row r="2367" spans="1:17" ht="15" x14ac:dyDescent="0.25">
      <c r="A2367" s="121"/>
      <c r="B2367" s="23"/>
      <c r="C2367" s="58"/>
      <c r="D2367" s="664"/>
      <c r="E2367" s="665"/>
      <c r="F2367" s="483"/>
      <c r="G2367" s="484"/>
      <c r="H2367" s="645" t="s">
        <v>29</v>
      </c>
      <c r="I2367" s="646"/>
      <c r="J2367" s="40">
        <f>+$D$2383</f>
        <v>44491</v>
      </c>
      <c r="K2367" s="24"/>
      <c r="L2367" s="24"/>
      <c r="M2367" s="24"/>
      <c r="N2367" s="25"/>
      <c r="O2367" s="195"/>
    </row>
    <row r="2368" spans="1:17" ht="15" x14ac:dyDescent="0.25">
      <c r="A2368" s="121"/>
      <c r="B2368" s="23"/>
      <c r="C2368" s="59" t="s">
        <v>25</v>
      </c>
      <c r="D2368" s="658"/>
      <c r="E2368" s="659"/>
      <c r="F2368" s="483"/>
      <c r="G2368" s="484"/>
      <c r="H2368" s="649" t="s">
        <v>30</v>
      </c>
      <c r="I2368" s="650"/>
      <c r="J2368" s="42" t="str">
        <f t="array" ref="J2368">+IF(H2385&gt;=M4,MIN(IF(H2372:H2386&gt;=$M$4,H2372:H2386,"")),"vencida")</f>
        <v>vencida</v>
      </c>
      <c r="K2368" s="24"/>
      <c r="L2368" s="24"/>
      <c r="M2368" s="24"/>
      <c r="N2368" s="25"/>
      <c r="O2368" s="195"/>
    </row>
    <row r="2369" spans="1:15" x14ac:dyDescent="0.25">
      <c r="A2369" s="121"/>
      <c r="B2369" s="23"/>
      <c r="C2369" s="59" t="s">
        <v>6</v>
      </c>
      <c r="D2369" s="658" t="s">
        <v>187</v>
      </c>
      <c r="E2369" s="659"/>
      <c r="F2369" s="483"/>
      <c r="G2369" s="484"/>
      <c r="H2369" s="24"/>
      <c r="I2369" s="24"/>
      <c r="J2369" s="24"/>
      <c r="K2369" s="24"/>
      <c r="L2369" s="24"/>
      <c r="M2369" s="24"/>
      <c r="N2369" s="25"/>
      <c r="O2369" s="195"/>
    </row>
    <row r="2370" spans="1:15" x14ac:dyDescent="0.25">
      <c r="A2370" s="121"/>
      <c r="B2370" s="23"/>
      <c r="C2370" s="59" t="s">
        <v>8</v>
      </c>
      <c r="D2370" s="658" t="s">
        <v>17</v>
      </c>
      <c r="E2370" s="659"/>
      <c r="F2370" s="483"/>
      <c r="G2370" s="484"/>
      <c r="H2370" s="651" t="s">
        <v>41</v>
      </c>
      <c r="I2370" s="652"/>
      <c r="J2370" s="652"/>
      <c r="K2370" s="652"/>
      <c r="L2370" s="653"/>
      <c r="M2370" s="24"/>
      <c r="N2370" s="25"/>
      <c r="O2370" s="195"/>
    </row>
    <row r="2371" spans="1:15" ht="15" x14ac:dyDescent="0.25">
      <c r="A2371" s="121"/>
      <c r="B2371" s="23"/>
      <c r="C2371" s="59" t="s">
        <v>33</v>
      </c>
      <c r="D2371" s="73" t="s">
        <v>309</v>
      </c>
      <c r="E2371" s="273">
        <v>1</v>
      </c>
      <c r="F2371" s="483">
        <f>+E2371*J2366</f>
        <v>0</v>
      </c>
      <c r="G2371" s="484"/>
      <c r="H2371" s="81" t="s">
        <v>0</v>
      </c>
      <c r="I2371" s="82" t="s">
        <v>2</v>
      </c>
      <c r="J2371" s="82" t="s">
        <v>3</v>
      </c>
      <c r="K2371" s="82" t="s">
        <v>4</v>
      </c>
      <c r="L2371" s="83" t="s">
        <v>5</v>
      </c>
      <c r="M2371" s="82" t="s">
        <v>44</v>
      </c>
      <c r="N2371" s="25"/>
      <c r="O2371" s="195"/>
    </row>
    <row r="2372" spans="1:15" x14ac:dyDescent="0.25">
      <c r="A2372" s="121"/>
      <c r="B2372" s="23"/>
      <c r="C2372" s="59" t="s">
        <v>34</v>
      </c>
      <c r="D2372" s="658" t="s">
        <v>100</v>
      </c>
      <c r="E2372" s="659"/>
      <c r="F2372" s="483"/>
      <c r="G2372" s="484"/>
      <c r="H2372" s="45"/>
      <c r="I2372" s="46"/>
      <c r="J2372" s="46"/>
      <c r="K2372" s="46"/>
      <c r="L2372" s="47"/>
      <c r="M2372" s="23"/>
      <c r="N2372" s="25"/>
      <c r="O2372" s="195"/>
    </row>
    <row r="2373" spans="1:15" ht="15" x14ac:dyDescent="0.25">
      <c r="A2373" s="121"/>
      <c r="B2373" s="23"/>
      <c r="C2373" s="79" t="s">
        <v>38</v>
      </c>
      <c r="D2373" s="75"/>
      <c r="E2373" s="76"/>
      <c r="F2373" s="483"/>
      <c r="G2373" s="484"/>
      <c r="H2373" s="48">
        <f>+$D$2382</f>
        <v>43395</v>
      </c>
      <c r="I2373" s="70"/>
      <c r="J2373" s="49"/>
      <c r="K2373" s="49"/>
      <c r="L2373" s="50">
        <f>+D2384</f>
        <v>3500000</v>
      </c>
      <c r="M2373" s="93">
        <f>-L2373</f>
        <v>-3500000</v>
      </c>
      <c r="N2373" s="25"/>
      <c r="O2373" s="195"/>
    </row>
    <row r="2374" spans="1:15" x14ac:dyDescent="0.25">
      <c r="A2374" s="121"/>
      <c r="B2374" s="23"/>
      <c r="C2374" s="59"/>
      <c r="D2374" s="73"/>
      <c r="E2374" s="74"/>
      <c r="F2374" s="483"/>
      <c r="G2374" s="484"/>
      <c r="H2374" s="51">
        <f>IF(DAY(H2373)=DAY($H$2373),IF(WEEKDAY(EDATE(H2373,$D$2385),3)&lt;5,EDATE(H2373,$D$2385),WORKDAY(EDATE(H2373,$D$2385),1)),IF(WEEKDAY(EDATE($H$2373,$D$2385*COUNT($H$2373:H2373)),3)&lt;5,EDATE($H$2373,$D$2385*COUNT($H$2373:H2373)),WORKDAY(EDATE($H$2373,$D$2385*COUNT($H$2373:H2373)),1)))</f>
        <v>43487</v>
      </c>
      <c r="I2374" s="71" t="s">
        <v>7</v>
      </c>
      <c r="J2374" s="52">
        <v>493342.01388888888</v>
      </c>
      <c r="K2374" s="52">
        <f t="shared" ref="K2374:K2384" si="234">+IF(OR(I2374="A + C",I2374="A"),$D$2384*$D$2390,0)</f>
        <v>0</v>
      </c>
      <c r="L2374" s="53">
        <f t="shared" ref="L2374:L2385" si="235">+L2373-K2374</f>
        <v>3500000</v>
      </c>
      <c r="M2374" s="94">
        <f t="shared" ref="M2374:M2385" si="236">+J2374+K2374</f>
        <v>493342.01388888888</v>
      </c>
      <c r="N2374" s="25"/>
      <c r="O2374" s="195"/>
    </row>
    <row r="2375" spans="1:15" x14ac:dyDescent="0.25">
      <c r="A2375" s="121"/>
      <c r="B2375" s="23"/>
      <c r="C2375" s="60"/>
      <c r="D2375" s="77"/>
      <c r="E2375" s="78"/>
      <c r="F2375" s="483"/>
      <c r="G2375" s="484"/>
      <c r="H2375" s="51">
        <f>IF(DAY(H2374)=DAY($H$2373),IF(WEEKDAY(EDATE(H2374,$D$2385),3)&lt;5,EDATE(H2374,$D$2385),WORKDAY(EDATE(H2374,$D$2385),1)),IF(WEEKDAY(EDATE($H$2373,$D$2385*COUNT($H$2373:H2374)),3)&lt;5,EDATE($H$2373,$D$2385*COUNT($H$2373:H2374)),WORKDAY(EDATE($H$2373,$D$2385*COUNT($H$2373:H2374)),1)))</f>
        <v>43577</v>
      </c>
      <c r="I2375" s="71" t="s">
        <v>7</v>
      </c>
      <c r="J2375" s="52">
        <v>483164.06249999994</v>
      </c>
      <c r="K2375" s="52">
        <f t="shared" si="234"/>
        <v>0</v>
      </c>
      <c r="L2375" s="53">
        <f t="shared" si="235"/>
        <v>3500000</v>
      </c>
      <c r="M2375" s="94">
        <f t="shared" si="236"/>
        <v>483164.06249999994</v>
      </c>
      <c r="N2375" s="25"/>
      <c r="O2375" s="195"/>
    </row>
    <row r="2376" spans="1:15" x14ac:dyDescent="0.25">
      <c r="A2376" s="121"/>
      <c r="B2376" s="23"/>
      <c r="C2376" s="60"/>
      <c r="D2376" s="55" t="str">
        <f>+B2364</f>
        <v>Tropical I</v>
      </c>
      <c r="E2376" s="64"/>
      <c r="F2376" s="483"/>
      <c r="G2376" s="484">
        <f>+J2366</f>
        <v>0</v>
      </c>
      <c r="H2376" s="51">
        <f>IF(DAY(H2375)=DAY($H$2373),IF(WEEKDAY(EDATE(H2375,$D$2385),3)&lt;5,EDATE(H2375,$D$2385),WORKDAY(EDATE(H2375,$D$2385),1)),IF(WEEKDAY(EDATE($H$2373,$D$2385*COUNT($H$2373:H2375)),3)&lt;5,EDATE($H$2373,$D$2385*COUNT($H$2373:H2375)),WORKDAY(EDATE($H$2373,$D$2385*COUNT($H$2373:H2375)),1)))</f>
        <v>43668</v>
      </c>
      <c r="I2376" s="71" t="s">
        <v>7</v>
      </c>
      <c r="J2376" s="52">
        <v>501250.43402777775</v>
      </c>
      <c r="K2376" s="52">
        <f t="shared" si="234"/>
        <v>0</v>
      </c>
      <c r="L2376" s="53">
        <f t="shared" si="235"/>
        <v>3500000</v>
      </c>
      <c r="M2376" s="94">
        <f t="shared" si="236"/>
        <v>501250.43402777775</v>
      </c>
      <c r="N2376" s="25"/>
      <c r="O2376" s="195"/>
    </row>
    <row r="2377" spans="1:15" x14ac:dyDescent="0.25">
      <c r="A2377" s="121"/>
      <c r="B2377" s="32"/>
      <c r="D2377" s="644"/>
      <c r="E2377" s="660"/>
      <c r="F2377" s="483"/>
      <c r="G2377" s="484"/>
      <c r="H2377" s="51">
        <f>IF(DAY(H2376)=DAY($H$2373),IF(WEEKDAY(EDATE(H2376,$D$2385),3)&lt;5,EDATE(H2376,$D$2385),WORKDAY(EDATE(H2376,$D$2385),1)),IF(WEEKDAY(EDATE($H$2373,$D$2385*COUNT($H$2373:H2376)),3)&lt;5,EDATE($H$2373,$D$2385*COUNT($H$2373:H2376)),WORKDAY(EDATE($H$2373,$D$2385*COUNT($H$2373:H2376)),1)))</f>
        <v>43760</v>
      </c>
      <c r="I2377" s="71" t="s">
        <v>13</v>
      </c>
      <c r="J2377" s="52">
        <v>536666.66666666663</v>
      </c>
      <c r="K2377" s="52">
        <f t="shared" si="234"/>
        <v>1166550</v>
      </c>
      <c r="L2377" s="53">
        <f t="shared" si="235"/>
        <v>2333450</v>
      </c>
      <c r="M2377" s="94">
        <f t="shared" si="236"/>
        <v>1703216.6666666665</v>
      </c>
      <c r="N2377" s="25"/>
      <c r="O2377" s="195"/>
    </row>
    <row r="2378" spans="1:15" ht="15" x14ac:dyDescent="0.25">
      <c r="A2378" s="121"/>
      <c r="B2378" s="23"/>
      <c r="C2378" s="638" t="s">
        <v>36</v>
      </c>
      <c r="D2378" s="640"/>
      <c r="E2378" s="36"/>
      <c r="F2378" s="483"/>
      <c r="G2378" s="484"/>
      <c r="H2378" s="51">
        <f>IF(DAY(H2377)=DAY($H$2373),IF(WEEKDAY(EDATE(H2377,$D$2385),3)&lt;5,EDATE(H2377,$D$2385),WORKDAY(EDATE(H2377,$D$2385),1)),IF(WEEKDAY(EDATE($H$2373,$D$2385*COUNT($H$2373:H2377)),3)&lt;5,EDATE($H$2373,$D$2385*COUNT($H$2373:H2377)),WORKDAY(EDATE($H$2373,$D$2385*COUNT($H$2373:H2377)),1)))</f>
        <v>43852</v>
      </c>
      <c r="I2378" s="71" t="s">
        <v>7</v>
      </c>
      <c r="J2378" s="52">
        <v>323879.61909722222</v>
      </c>
      <c r="K2378" s="52">
        <f t="shared" si="234"/>
        <v>0</v>
      </c>
      <c r="L2378" s="53">
        <f t="shared" si="235"/>
        <v>2333450</v>
      </c>
      <c r="M2378" s="94">
        <f t="shared" si="236"/>
        <v>323879.61909722222</v>
      </c>
      <c r="N2378" s="25"/>
      <c r="O2378" s="195"/>
    </row>
    <row r="2379" spans="1:15" x14ac:dyDescent="0.25">
      <c r="A2379" s="121"/>
      <c r="B2379" s="23"/>
      <c r="C2379" s="59"/>
      <c r="D2379" s="62"/>
      <c r="E2379" s="36"/>
      <c r="F2379" s="483"/>
      <c r="G2379" s="484"/>
      <c r="H2379" s="51">
        <f>IF(DAY(H2378)=DAY($H$2373),IF(WEEKDAY(EDATE(H2378,$D$2385),3)&lt;5,EDATE(H2378,$D$2385),WORKDAY(EDATE(H2378,$D$2385),1)),IF(WEEKDAY(EDATE($H$2373,$D$2385*COUNT($H$2373:H2378)),3)&lt;5,EDATE($H$2373,$D$2385*COUNT($H$2373:H2378)),WORKDAY(EDATE($H$2373,$D$2385*COUNT($H$2373:H2378)),1)))</f>
        <v>43943</v>
      </c>
      <c r="I2379" s="71" t="s">
        <v>7</v>
      </c>
      <c r="J2379" s="52">
        <v>233725.80607638889</v>
      </c>
      <c r="K2379" s="52">
        <f t="shared" si="234"/>
        <v>0</v>
      </c>
      <c r="L2379" s="53">
        <f t="shared" si="235"/>
        <v>2333450</v>
      </c>
      <c r="M2379" s="94">
        <f t="shared" si="236"/>
        <v>233725.80607638889</v>
      </c>
      <c r="N2379" s="25"/>
      <c r="O2379" s="195"/>
    </row>
    <row r="2380" spans="1:15" x14ac:dyDescent="0.25">
      <c r="A2380" s="121"/>
      <c r="B2380" s="23"/>
      <c r="C2380" s="59" t="s">
        <v>9</v>
      </c>
      <c r="D2380" s="98" t="s">
        <v>18</v>
      </c>
      <c r="E2380" s="36"/>
      <c r="F2380" s="483"/>
      <c r="G2380" s="484"/>
      <c r="H2380" s="51">
        <f>IF(DAY(H2379)=DAY($H$2373),IF(WEEKDAY(EDATE(H2379,$D$2385),3)&lt;5,EDATE(H2379,$D$2385),WORKDAY(EDATE(H2379,$D$2385),1)),IF(WEEKDAY(EDATE($H$2373,$D$2385*COUNT($H$2373:H2379)),3)&lt;5,EDATE($H$2373,$D$2385*COUNT($H$2373:H2379)),WORKDAY(EDATE($H$2373,$D$2385*COUNT($H$2373:H2379)),1)))</f>
        <v>44034</v>
      </c>
      <c r="I2380" s="71" t="s">
        <v>7</v>
      </c>
      <c r="J2380" s="52">
        <v>201284.36927083335</v>
      </c>
      <c r="K2380" s="52">
        <f t="shared" si="234"/>
        <v>0</v>
      </c>
      <c r="L2380" s="53">
        <f t="shared" si="235"/>
        <v>2333450</v>
      </c>
      <c r="M2380" s="94">
        <f t="shared" si="236"/>
        <v>201284.36927083335</v>
      </c>
      <c r="N2380" s="25"/>
      <c r="O2380" s="195"/>
    </row>
    <row r="2381" spans="1:15" x14ac:dyDescent="0.25">
      <c r="A2381" s="121"/>
      <c r="B2381" s="23"/>
      <c r="C2381" s="59" t="s">
        <v>10</v>
      </c>
      <c r="D2381" s="65">
        <v>43392</v>
      </c>
      <c r="E2381" s="36"/>
      <c r="F2381" s="483"/>
      <c r="G2381" s="484"/>
      <c r="H2381" s="51">
        <f>IF(DAY(H2380)=DAY($H$2373),IF(WEEKDAY(EDATE(H2380,$D$2385),3)&lt;5,EDATE(H2380,$D$2385),WORKDAY(EDATE(H2380,$D$2385),1)),IF(WEEKDAY(EDATE($H$2373,$D$2385*COUNT($H$2373:H2380)),3)&lt;5,EDATE($H$2373,$D$2385*COUNT($H$2373:H2380)),WORKDAY(EDATE($H$2373,$D$2385*COUNT($H$2373:H2380)),1)))</f>
        <v>44126</v>
      </c>
      <c r="I2381" s="71" t="s">
        <v>13</v>
      </c>
      <c r="J2381" s="52">
        <v>203496.28541666665</v>
      </c>
      <c r="K2381" s="52">
        <f t="shared" si="234"/>
        <v>1166550</v>
      </c>
      <c r="L2381" s="53">
        <f t="shared" si="235"/>
        <v>1166900</v>
      </c>
      <c r="M2381" s="94">
        <f t="shared" si="236"/>
        <v>1370046.2854166667</v>
      </c>
      <c r="N2381" s="25"/>
    </row>
    <row r="2382" spans="1:15" x14ac:dyDescent="0.25">
      <c r="A2382" s="121"/>
      <c r="B2382" s="23"/>
      <c r="C2382" s="59" t="s">
        <v>11</v>
      </c>
      <c r="D2382" s="65">
        <v>43395</v>
      </c>
      <c r="E2382" s="36"/>
      <c r="F2382" s="483"/>
      <c r="G2382" s="484"/>
      <c r="H2382" s="51">
        <f>IF(DAY(H2381)=DAY($H$2373),IF(WEEKDAY(EDATE(H2381,$D$2385),3)&lt;5,EDATE(H2381,$D$2385),WORKDAY(EDATE(H2381,$D$2385),1)),IF(WEEKDAY(EDATE($H$2373,$D$2385*COUNT($H$2373:H2381)),3)&lt;5,EDATE($H$2373,$D$2385*COUNT($H$2373:H2381)),WORKDAY(EDATE($H$2373,$D$2385*COUNT($H$2373:H2381)),1)))</f>
        <v>44218</v>
      </c>
      <c r="I2382" s="71" t="s">
        <v>7</v>
      </c>
      <c r="J2382" s="52">
        <v>101763.40416666666</v>
      </c>
      <c r="K2382" s="52">
        <f t="shared" si="234"/>
        <v>0</v>
      </c>
      <c r="L2382" s="53">
        <f t="shared" si="235"/>
        <v>1166900</v>
      </c>
      <c r="M2382" s="94">
        <f t="shared" si="236"/>
        <v>101763.40416666666</v>
      </c>
      <c r="N2382" s="25"/>
    </row>
    <row r="2383" spans="1:15" x14ac:dyDescent="0.25">
      <c r="A2383" s="121"/>
      <c r="B2383" s="23"/>
      <c r="C2383" s="59" t="s">
        <v>12</v>
      </c>
      <c r="D2383" s="65">
        <v>44491</v>
      </c>
      <c r="E2383" s="36"/>
      <c r="F2383" s="483"/>
      <c r="G2383" s="484"/>
      <c r="H2383" s="51">
        <f>IF(DAY(H2382)=DAY($H$2373),IF(WEEKDAY(EDATE(H2382,$D$2385),3)&lt;5,EDATE(H2382,$D$2385),WORKDAY(EDATE(H2382,$D$2385),1)),IF(WEEKDAY(EDATE($H$2373,$D$2385*COUNT($H$2373:H2382)),3)&lt;5,EDATE($H$2373,$D$2385*COUNT($H$2373:H2382)),WORKDAY(EDATE($H$2373,$D$2385*COUNT($H$2373:H2382)),1)))</f>
        <v>44308</v>
      </c>
      <c r="I2383" s="71" t="s">
        <v>7</v>
      </c>
      <c r="J2383" s="52">
        <v>99551.15625</v>
      </c>
      <c r="K2383" s="52">
        <f t="shared" si="234"/>
        <v>0</v>
      </c>
      <c r="L2383" s="53">
        <f t="shared" si="235"/>
        <v>1166900</v>
      </c>
      <c r="M2383" s="94">
        <f t="shared" si="236"/>
        <v>99551.15625</v>
      </c>
      <c r="N2383" s="25"/>
    </row>
    <row r="2384" spans="1:15" x14ac:dyDescent="0.25">
      <c r="A2384" s="121"/>
      <c r="B2384" s="23"/>
      <c r="C2384" s="59" t="s">
        <v>27</v>
      </c>
      <c r="D2384" s="66">
        <v>3500000</v>
      </c>
      <c r="E2384" s="41"/>
      <c r="F2384" s="480"/>
      <c r="G2384" s="484"/>
      <c r="H2384" s="51">
        <f>IF(DAY(H2383)=DAY($H$2373),IF(WEEKDAY(EDATE(H2383,$D$2385),3)&lt;5,EDATE(H2383,$D$2385),WORKDAY(EDATE(H2383,$D$2385),1)),IF(WEEKDAY(EDATE($H$2373,$D$2385*COUNT($H$2373:H2383)),3)&lt;5,EDATE($H$2373,$D$2385*COUNT($H$2373:H2383)),WORKDAY(EDATE($H$2373,$D$2385*COUNT($H$2373:H2383)),1)))</f>
        <v>44399</v>
      </c>
      <c r="I2384" s="71" t="s">
        <v>7</v>
      </c>
      <c r="J2384" s="52">
        <v>100657.28020833334</v>
      </c>
      <c r="K2384" s="52">
        <f t="shared" si="234"/>
        <v>0</v>
      </c>
      <c r="L2384" s="53">
        <f t="shared" si="235"/>
        <v>1166900</v>
      </c>
      <c r="M2384" s="94">
        <f t="shared" si="236"/>
        <v>100657.28020833334</v>
      </c>
      <c r="N2384" s="25"/>
    </row>
    <row r="2385" spans="1:17" x14ac:dyDescent="0.25">
      <c r="A2385" s="121"/>
      <c r="B2385" s="23"/>
      <c r="C2385" s="59" t="s">
        <v>26</v>
      </c>
      <c r="D2385" s="66">
        <v>3</v>
      </c>
      <c r="E2385" s="36"/>
      <c r="F2385" s="480"/>
      <c r="G2385" s="484"/>
      <c r="H2385" s="51">
        <f>IF(DAY(H2384)=DAY($H$2373),IF(WEEKDAY(EDATE(H2384,$D$2385),3)&lt;5,EDATE(H2384,$D$2385),WORKDAY(EDATE(H2384,$D$2385),1)),IF(WEEKDAY(EDATE($H$2373,$D$2385*COUNT($H$2373:H2384)),3)&lt;5,EDATE($H$2373,$D$2385*COUNT($H$2373:H2384)),WORKDAY(EDATE($H$2373,$D$2385*COUNT($H$2373:H2384)),1)))</f>
        <v>44491</v>
      </c>
      <c r="I2385" s="71" t="s">
        <v>13</v>
      </c>
      <c r="J2385" s="52">
        <v>101763.40416666666</v>
      </c>
      <c r="K2385" s="52">
        <f>+IF(OR(I2385="A + C",I2385="A"),$D$2384*$D$2391,0)</f>
        <v>1166900</v>
      </c>
      <c r="L2385" s="53">
        <f t="shared" si="235"/>
        <v>0</v>
      </c>
      <c r="M2385" s="94">
        <f t="shared" si="236"/>
        <v>1268663.4041666666</v>
      </c>
      <c r="N2385" s="25"/>
    </row>
    <row r="2386" spans="1:17" x14ac:dyDescent="0.25">
      <c r="A2386" s="121"/>
      <c r="B2386" s="23"/>
      <c r="C2386" s="59" t="s">
        <v>19</v>
      </c>
      <c r="D2386" s="67" t="s">
        <v>20</v>
      </c>
      <c r="E2386" s="43"/>
      <c r="F2386" s="480"/>
      <c r="G2386" s="484"/>
      <c r="H2386" s="54"/>
      <c r="I2386" s="104"/>
      <c r="J2386" s="105"/>
      <c r="K2386" s="105"/>
      <c r="L2386" s="106"/>
      <c r="M2386" s="109"/>
      <c r="N2386" s="25"/>
    </row>
    <row r="2387" spans="1:17" x14ac:dyDescent="0.25">
      <c r="A2387" s="121"/>
      <c r="B2387" s="23"/>
      <c r="C2387" s="59" t="s">
        <v>14</v>
      </c>
      <c r="D2387" s="68">
        <v>0.08</v>
      </c>
      <c r="E2387" s="43"/>
      <c r="F2387" s="480"/>
      <c r="G2387" s="484"/>
      <c r="H2387" s="109"/>
      <c r="I2387" s="109"/>
      <c r="J2387" s="109"/>
      <c r="K2387" s="109"/>
      <c r="L2387" s="109"/>
      <c r="M2387" s="109"/>
      <c r="N2387" s="25"/>
    </row>
    <row r="2388" spans="1:17" ht="15" x14ac:dyDescent="0.25">
      <c r="A2388" s="121"/>
      <c r="B2388" s="23"/>
      <c r="C2388" s="59" t="s">
        <v>31</v>
      </c>
      <c r="D2388" s="68"/>
      <c r="E2388" s="43"/>
      <c r="F2388" s="480"/>
      <c r="G2388" s="484"/>
      <c r="H2388" s="656" t="s">
        <v>43</v>
      </c>
      <c r="I2388" s="656"/>
      <c r="J2388" s="92">
        <v>0</v>
      </c>
      <c r="K2388" s="92"/>
      <c r="L2388" s="24"/>
      <c r="M2388" s="24"/>
      <c r="N2388" s="25"/>
    </row>
    <row r="2389" spans="1:17" ht="15" x14ac:dyDescent="0.25">
      <c r="A2389" s="121"/>
      <c r="B2389" s="23"/>
      <c r="C2389" s="59" t="s">
        <v>32</v>
      </c>
      <c r="D2389" s="68"/>
      <c r="E2389" s="44"/>
      <c r="F2389" s="480"/>
      <c r="G2389" s="484"/>
      <c r="H2389" s="657"/>
      <c r="I2389" s="657"/>
      <c r="J2389" s="392"/>
      <c r="K2389" s="24"/>
      <c r="L2389" s="33"/>
      <c r="M2389" s="33"/>
      <c r="N2389" s="25"/>
    </row>
    <row r="2390" spans="1:17" x14ac:dyDescent="0.25">
      <c r="A2390" s="121"/>
      <c r="B2390" s="23"/>
      <c r="C2390" s="59" t="s">
        <v>81</v>
      </c>
      <c r="D2390" s="68">
        <v>0.33329999999999999</v>
      </c>
      <c r="E2390" s="24"/>
      <c r="F2390" s="480"/>
      <c r="G2390" s="484"/>
      <c r="H2390" s="24"/>
      <c r="I2390" s="24"/>
      <c r="J2390" s="24"/>
      <c r="K2390" s="24"/>
      <c r="L2390" s="24"/>
      <c r="M2390" s="24"/>
      <c r="N2390" s="25"/>
      <c r="O2390" s="197">
        <f>+M2534</f>
        <v>-40000000</v>
      </c>
      <c r="P2390" s="197">
        <f>-M2534</f>
        <v>40000000</v>
      </c>
      <c r="Q2390" s="197"/>
    </row>
    <row r="2391" spans="1:17" ht="15" x14ac:dyDescent="0.25">
      <c r="A2391" s="121"/>
      <c r="B2391" s="23"/>
      <c r="C2391" s="59" t="s">
        <v>55</v>
      </c>
      <c r="D2391" s="68">
        <v>0.33339999999999997</v>
      </c>
      <c r="E2391" s="24"/>
      <c r="F2391" s="480"/>
      <c r="G2391" s="484"/>
      <c r="H2391" s="638" t="s">
        <v>44</v>
      </c>
      <c r="I2391" s="639"/>
      <c r="J2391" s="639"/>
      <c r="K2391" s="639"/>
      <c r="L2391" s="639"/>
      <c r="M2391" s="640"/>
      <c r="N2391" s="25"/>
      <c r="O2391" s="197">
        <f t="shared" ref="O2391:O2402" si="237">+M2535+O2390</f>
        <v>-36120624.657534249</v>
      </c>
      <c r="P2391" s="197">
        <f t="shared" ref="P2391:P2402" si="238">+(M2535/(1+$J$2505)^((H2535-$H$2489)/365))/$P$2345</f>
        <v>0.48492191780821925</v>
      </c>
      <c r="Q2391" s="197">
        <f t="shared" ref="Q2391:Q2402" si="239">+P2391*((H2535-$H$2489)/365)</f>
        <v>1.8241035428785892</v>
      </c>
    </row>
    <row r="2392" spans="1:17" x14ac:dyDescent="0.25">
      <c r="A2392" s="121"/>
      <c r="B2392" s="23"/>
      <c r="C2392" s="60"/>
      <c r="D2392" s="110"/>
      <c r="E2392" s="24"/>
      <c r="F2392" s="480"/>
      <c r="G2392" s="484"/>
      <c r="H2392" s="23"/>
      <c r="I2392" s="24"/>
      <c r="J2392" s="24"/>
      <c r="K2392" s="24"/>
      <c r="L2392" s="24"/>
      <c r="M2392" s="25"/>
      <c r="N2392" s="25"/>
      <c r="O2392" s="197">
        <f t="shared" si="237"/>
        <v>-32875419.178082194</v>
      </c>
      <c r="P2392" s="197">
        <f t="shared" si="238"/>
        <v>0.40565068493150686</v>
      </c>
      <c r="Q2392" s="197">
        <f t="shared" si="239"/>
        <v>1.6281595984237192</v>
      </c>
    </row>
    <row r="2393" spans="1:17" x14ac:dyDescent="0.25">
      <c r="A2393" s="121"/>
      <c r="B2393" s="23"/>
      <c r="C2393" s="24"/>
      <c r="D2393" s="24"/>
      <c r="E2393" s="24"/>
      <c r="F2393" s="480"/>
      <c r="G2393" s="485"/>
      <c r="H2393" s="23"/>
      <c r="I2393" s="24"/>
      <c r="J2393" s="24"/>
      <c r="K2393" s="24"/>
      <c r="L2393" s="24"/>
      <c r="M2393" s="25"/>
      <c r="N2393" s="25"/>
      <c r="O2393" s="197">
        <f t="shared" si="237"/>
        <v>-29700761.643835619</v>
      </c>
      <c r="P2393" s="197">
        <f t="shared" si="238"/>
        <v>0.39683219178082196</v>
      </c>
      <c r="Q2393" s="197">
        <f t="shared" si="239"/>
        <v>1.6906138581347345</v>
      </c>
    </row>
    <row r="2394" spans="1:17" x14ac:dyDescent="0.25">
      <c r="A2394" s="121"/>
      <c r="B2394" s="23"/>
      <c r="C2394" s="24"/>
      <c r="D2394" s="24"/>
      <c r="E2394" s="24"/>
      <c r="F2394" s="480"/>
      <c r="G2394" s="485"/>
      <c r="H2394" s="96"/>
      <c r="I2394" s="35"/>
      <c r="J2394" s="24"/>
      <c r="K2394" s="24"/>
      <c r="L2394" s="24"/>
      <c r="M2394" s="25"/>
      <c r="N2394" s="25"/>
      <c r="O2394" s="197">
        <f t="shared" si="237"/>
        <v>-1504528.7671232894</v>
      </c>
      <c r="P2394" s="197">
        <f t="shared" si="238"/>
        <v>3.5245291095890412</v>
      </c>
      <c r="Q2394" s="197">
        <f t="shared" si="239"/>
        <v>15.894177847626196</v>
      </c>
    </row>
    <row r="2395" spans="1:17" x14ac:dyDescent="0.25">
      <c r="A2395" s="121"/>
      <c r="B2395" s="23"/>
      <c r="C2395" s="24"/>
      <c r="D2395" s="24"/>
      <c r="E2395" s="24"/>
      <c r="F2395" s="480"/>
      <c r="G2395" s="485"/>
      <c r="H2395" s="23"/>
      <c r="I2395" s="24"/>
      <c r="J2395" s="24"/>
      <c r="K2395" s="24"/>
      <c r="L2395" s="24"/>
      <c r="M2395" s="25"/>
      <c r="N2395" s="25"/>
      <c r="O2395" s="197">
        <f t="shared" si="237"/>
        <v>1378347.9452054775</v>
      </c>
      <c r="P2395" s="197">
        <f t="shared" si="238"/>
        <v>0.36035958904109588</v>
      </c>
      <c r="Q2395" s="197">
        <f t="shared" si="239"/>
        <v>1.7159040157628074</v>
      </c>
    </row>
    <row r="2396" spans="1:17" x14ac:dyDescent="0.25">
      <c r="A2396" s="121"/>
      <c r="B2396" s="23"/>
      <c r="C2396" s="24"/>
      <c r="D2396" s="24"/>
      <c r="E2396" s="24"/>
      <c r="F2396" s="480"/>
      <c r="G2396" s="485"/>
      <c r="H2396" s="23"/>
      <c r="I2396" s="24"/>
      <c r="J2396" s="24"/>
      <c r="K2396" s="24"/>
      <c r="L2396" s="24"/>
      <c r="M2396" s="25"/>
      <c r="N2396" s="25"/>
      <c r="O2396" s="197">
        <f t="shared" si="237"/>
        <v>13000950.684931505</v>
      </c>
      <c r="P2396" s="197">
        <f t="shared" si="238"/>
        <v>1.4528253424657533</v>
      </c>
      <c r="Q2396" s="197">
        <f t="shared" si="239"/>
        <v>7.2840284293488446</v>
      </c>
    </row>
    <row r="2397" spans="1:17" x14ac:dyDescent="0.25">
      <c r="A2397" s="121"/>
      <c r="B2397" s="23"/>
      <c r="C2397" s="24"/>
      <c r="D2397" s="24"/>
      <c r="E2397" s="24"/>
      <c r="F2397" s="480"/>
      <c r="G2397" s="485"/>
      <c r="H2397" s="23"/>
      <c r="I2397" s="24"/>
      <c r="J2397" s="24"/>
      <c r="K2397" s="24"/>
      <c r="L2397" s="24"/>
      <c r="M2397" s="25"/>
      <c r="N2397" s="25"/>
      <c r="O2397" s="197">
        <f t="shared" si="237"/>
        <v>13803433.561643835</v>
      </c>
      <c r="P2397" s="197">
        <f t="shared" si="238"/>
        <v>0.1003103595890411</v>
      </c>
      <c r="Q2397" s="197">
        <f t="shared" si="239"/>
        <v>0.52793479663163823</v>
      </c>
    </row>
    <row r="2398" spans="1:17" x14ac:dyDescent="0.25">
      <c r="A2398" s="121"/>
      <c r="B2398" s="23"/>
      <c r="C2398" s="24"/>
      <c r="D2398" s="24"/>
      <c r="E2398" s="24"/>
      <c r="F2398" s="480"/>
      <c r="G2398" s="485"/>
      <c r="H2398" s="23"/>
      <c r="I2398" s="24"/>
      <c r="J2398" s="24"/>
      <c r="K2398" s="24"/>
      <c r="L2398" s="24"/>
      <c r="M2398" s="25"/>
      <c r="N2398" s="25"/>
      <c r="O2398" s="197">
        <f t="shared" si="237"/>
        <v>24605916.438356165</v>
      </c>
      <c r="P2398" s="197">
        <f t="shared" si="238"/>
        <v>1.3503103595890411</v>
      </c>
      <c r="Q2398" s="197">
        <f t="shared" si="239"/>
        <v>7.4433546397072625</v>
      </c>
    </row>
    <row r="2399" spans="1:17" x14ac:dyDescent="0.25">
      <c r="A2399" s="121"/>
      <c r="B2399" s="23"/>
      <c r="C2399" s="24"/>
      <c r="D2399" s="24"/>
      <c r="E2399" s="24"/>
      <c r="F2399" s="480"/>
      <c r="G2399" s="485"/>
      <c r="H2399" s="23"/>
      <c r="I2399" s="24"/>
      <c r="J2399" s="24"/>
      <c r="K2399" s="24"/>
      <c r="L2399" s="24"/>
      <c r="M2399" s="25"/>
      <c r="N2399" s="25"/>
      <c r="O2399" s="197">
        <f t="shared" si="237"/>
        <v>24605916.438356165</v>
      </c>
      <c r="P2399" s="197">
        <f t="shared" si="238"/>
        <v>0</v>
      </c>
      <c r="Q2399" s="197">
        <f t="shared" si="239"/>
        <v>0</v>
      </c>
    </row>
    <row r="2400" spans="1:17" x14ac:dyDescent="0.25">
      <c r="A2400" s="121"/>
      <c r="B2400" s="23"/>
      <c r="C2400" s="24"/>
      <c r="D2400" s="24"/>
      <c r="E2400" s="24"/>
      <c r="F2400" s="480"/>
      <c r="G2400" s="485"/>
      <c r="H2400" s="23"/>
      <c r="I2400" s="24"/>
      <c r="J2400" s="24"/>
      <c r="K2400" s="24"/>
      <c r="L2400" s="24"/>
      <c r="M2400" s="25"/>
      <c r="N2400" s="25"/>
      <c r="O2400" s="197">
        <f t="shared" si="237"/>
        <v>24605916.438356165</v>
      </c>
      <c r="P2400" s="197">
        <f t="shared" si="238"/>
        <v>0</v>
      </c>
      <c r="Q2400" s="197">
        <f t="shared" si="239"/>
        <v>0</v>
      </c>
    </row>
    <row r="2401" spans="1:17" x14ac:dyDescent="0.25">
      <c r="A2401" s="121"/>
      <c r="B2401" s="23"/>
      <c r="C2401" s="24"/>
      <c r="D2401" s="24"/>
      <c r="E2401" s="24"/>
      <c r="F2401" s="480"/>
      <c r="G2401" s="485"/>
      <c r="H2401" s="23"/>
      <c r="I2401" s="24"/>
      <c r="J2401" s="24"/>
      <c r="K2401" s="24"/>
      <c r="L2401" s="24"/>
      <c r="M2401" s="25"/>
      <c r="N2401" s="25"/>
      <c r="O2401" s="197">
        <f t="shared" si="237"/>
        <v>24605916.438356165</v>
      </c>
      <c r="P2401" s="197" t="e">
        <f t="shared" si="238"/>
        <v>#VALUE!</v>
      </c>
      <c r="Q2401" s="197" t="e">
        <f t="shared" si="239"/>
        <v>#VALUE!</v>
      </c>
    </row>
    <row r="2402" spans="1:17" x14ac:dyDescent="0.25">
      <c r="A2402" s="121"/>
      <c r="B2402" s="23"/>
      <c r="C2402" s="24"/>
      <c r="D2402" s="24"/>
      <c r="E2402" s="24"/>
      <c r="F2402" s="480"/>
      <c r="G2402" s="485"/>
      <c r="H2402" s="23"/>
      <c r="I2402" s="24"/>
      <c r="J2402" s="24"/>
      <c r="K2402" s="24"/>
      <c r="L2402" s="24"/>
      <c r="M2402" s="25"/>
      <c r="N2402" s="25"/>
      <c r="O2402" s="197">
        <f t="shared" si="237"/>
        <v>24605916.438356165</v>
      </c>
      <c r="P2402" s="197">
        <f t="shared" si="238"/>
        <v>0</v>
      </c>
      <c r="Q2402" s="197">
        <f t="shared" si="239"/>
        <v>0</v>
      </c>
    </row>
    <row r="2403" spans="1:17" x14ac:dyDescent="0.25">
      <c r="A2403" s="121"/>
      <c r="B2403" s="23"/>
      <c r="C2403" s="24"/>
      <c r="D2403" s="24"/>
      <c r="E2403" s="24"/>
      <c r="F2403" s="480"/>
      <c r="G2403" s="485"/>
      <c r="H2403" s="23"/>
      <c r="I2403" s="24"/>
      <c r="J2403" s="24"/>
      <c r="K2403" s="24"/>
      <c r="L2403" s="24"/>
      <c r="M2403" s="25"/>
      <c r="N2403" s="25"/>
    </row>
    <row r="2404" spans="1:17" x14ac:dyDescent="0.25">
      <c r="A2404" s="121"/>
      <c r="B2404" s="23"/>
      <c r="C2404" s="24"/>
      <c r="D2404" s="24"/>
      <c r="E2404" s="24"/>
      <c r="F2404" s="480"/>
      <c r="G2404" s="485"/>
      <c r="H2404" s="26"/>
      <c r="I2404" s="27"/>
      <c r="J2404" s="27"/>
      <c r="K2404" s="27"/>
      <c r="L2404" s="27"/>
      <c r="M2404" s="28"/>
      <c r="N2404" s="25"/>
    </row>
    <row r="2405" spans="1:17" x14ac:dyDescent="0.25">
      <c r="A2405" s="121"/>
      <c r="B2405" s="26"/>
      <c r="C2405" s="27"/>
      <c r="D2405" s="27"/>
      <c r="E2405" s="27"/>
      <c r="F2405" s="481"/>
      <c r="G2405" s="486"/>
      <c r="H2405" s="27"/>
      <c r="I2405" s="27"/>
      <c r="J2405" s="27"/>
      <c r="K2405" s="27"/>
      <c r="L2405" s="27"/>
      <c r="M2405" s="27"/>
      <c r="N2405" s="28"/>
    </row>
    <row r="2406" spans="1:17" ht="23.25" x14ac:dyDescent="0.25">
      <c r="A2406" s="122" t="s">
        <v>63</v>
      </c>
      <c r="B2406" s="661" t="s">
        <v>211</v>
      </c>
      <c r="C2406" s="662"/>
      <c r="D2406" s="662"/>
      <c r="E2406" s="662"/>
      <c r="F2406" s="662"/>
      <c r="G2406" s="662"/>
      <c r="H2406" s="662"/>
      <c r="I2406" s="662"/>
      <c r="J2406" s="662"/>
      <c r="K2406" s="662"/>
      <c r="L2406" s="662"/>
      <c r="M2406" s="662"/>
      <c r="N2406" s="663"/>
    </row>
    <row r="2407" spans="1:17" x14ac:dyDescent="0.25">
      <c r="A2407" s="121"/>
      <c r="B2407" s="23"/>
      <c r="C2407" s="24"/>
      <c r="D2407" s="24"/>
      <c r="E2407" s="24"/>
      <c r="F2407" s="483"/>
      <c r="G2407" s="484"/>
      <c r="H2407" s="31"/>
      <c r="I2407" s="31"/>
      <c r="J2407" s="24"/>
      <c r="K2407" s="24"/>
      <c r="L2407" s="24"/>
      <c r="M2407" s="24"/>
      <c r="N2407" s="25"/>
    </row>
    <row r="2408" spans="1:17" ht="15" x14ac:dyDescent="0.25">
      <c r="A2408" s="121"/>
      <c r="B2408" s="23"/>
      <c r="C2408" s="638" t="s">
        <v>37</v>
      </c>
      <c r="D2408" s="639"/>
      <c r="E2408" s="640"/>
      <c r="F2408" s="483"/>
      <c r="G2408" s="484"/>
      <c r="H2408" s="641" t="s">
        <v>28</v>
      </c>
      <c r="I2408" s="642"/>
      <c r="J2408" s="39">
        <f>+$D$2426-SUMIF($H$2414:$H$2422,"&lt;"&amp;$M$4,$K$2414:$K$2422)</f>
        <v>0</v>
      </c>
      <c r="K2408" s="24"/>
      <c r="L2408" s="24"/>
      <c r="M2408" s="24"/>
      <c r="N2408" s="25"/>
    </row>
    <row r="2409" spans="1:17" ht="15" x14ac:dyDescent="0.25">
      <c r="A2409" s="121"/>
      <c r="B2409" s="23"/>
      <c r="C2409" s="58"/>
      <c r="D2409" s="664"/>
      <c r="E2409" s="665"/>
      <c r="F2409" s="483"/>
      <c r="G2409" s="484"/>
      <c r="H2409" s="645" t="s">
        <v>29</v>
      </c>
      <c r="I2409" s="646"/>
      <c r="J2409" s="40">
        <f>+$D$2425</f>
        <v>44397</v>
      </c>
      <c r="K2409" s="24"/>
      <c r="L2409" s="24"/>
      <c r="M2409" s="24"/>
      <c r="N2409" s="25"/>
    </row>
    <row r="2410" spans="1:17" ht="15" x14ac:dyDescent="0.25">
      <c r="A2410" s="121"/>
      <c r="B2410" s="23"/>
      <c r="C2410" s="59" t="s">
        <v>25</v>
      </c>
      <c r="D2410" s="658"/>
      <c r="E2410" s="659"/>
      <c r="F2410" s="483"/>
      <c r="G2410" s="484"/>
      <c r="H2410" s="649" t="s">
        <v>30</v>
      </c>
      <c r="I2410" s="650"/>
      <c r="J2410" s="42" t="str">
        <f t="array" ref="J2410">+IF(H2421&gt;=M4,MIN(IF($H$2414:$H$2422&gt;$M$4,$H$2414:$H$2422,"")),"vencida")</f>
        <v>vencida</v>
      </c>
      <c r="K2410" s="24"/>
      <c r="L2410" s="24"/>
      <c r="M2410" s="24"/>
      <c r="N2410" s="25"/>
    </row>
    <row r="2411" spans="1:17" x14ac:dyDescent="0.25">
      <c r="A2411" s="121"/>
      <c r="B2411" s="23"/>
      <c r="C2411" s="59" t="s">
        <v>6</v>
      </c>
      <c r="D2411" s="658" t="s">
        <v>218</v>
      </c>
      <c r="E2411" s="659"/>
      <c r="F2411" s="483"/>
      <c r="G2411" s="484"/>
      <c r="H2411" s="24"/>
      <c r="I2411" s="24"/>
      <c r="J2411" s="24"/>
      <c r="K2411" s="24"/>
      <c r="L2411" s="24"/>
      <c r="M2411" s="24"/>
      <c r="N2411" s="25"/>
    </row>
    <row r="2412" spans="1:17" x14ac:dyDescent="0.25">
      <c r="A2412" s="121"/>
      <c r="B2412" s="23"/>
      <c r="C2412" s="59" t="s">
        <v>8</v>
      </c>
      <c r="D2412" s="658" t="s">
        <v>17</v>
      </c>
      <c r="E2412" s="659"/>
      <c r="F2412" s="483"/>
      <c r="G2412" s="484"/>
      <c r="H2412" s="651" t="s">
        <v>41</v>
      </c>
      <c r="I2412" s="652"/>
      <c r="J2412" s="652"/>
      <c r="K2412" s="652"/>
      <c r="L2412" s="653"/>
      <c r="M2412" s="24"/>
      <c r="N2412" s="25"/>
    </row>
    <row r="2413" spans="1:17" ht="15" x14ac:dyDescent="0.25">
      <c r="A2413" s="121"/>
      <c r="B2413" s="23"/>
      <c r="C2413" s="59" t="s">
        <v>33</v>
      </c>
      <c r="D2413" s="73" t="s">
        <v>325</v>
      </c>
      <c r="E2413" s="273">
        <v>1</v>
      </c>
      <c r="F2413" s="483">
        <f>+E2413*J2408</f>
        <v>0</v>
      </c>
      <c r="G2413" s="484"/>
      <c r="H2413" s="81" t="s">
        <v>0</v>
      </c>
      <c r="I2413" s="82" t="s">
        <v>2</v>
      </c>
      <c r="J2413" s="82" t="s">
        <v>3</v>
      </c>
      <c r="K2413" s="82" t="s">
        <v>4</v>
      </c>
      <c r="L2413" s="83" t="s">
        <v>5</v>
      </c>
      <c r="M2413" s="82" t="s">
        <v>44</v>
      </c>
      <c r="N2413" s="25"/>
    </row>
    <row r="2414" spans="1:17" x14ac:dyDescent="0.25">
      <c r="A2414" s="121"/>
      <c r="B2414" s="23"/>
      <c r="C2414" s="59" t="s">
        <v>34</v>
      </c>
      <c r="D2414" s="658" t="s">
        <v>48</v>
      </c>
      <c r="E2414" s="659"/>
      <c r="F2414" s="483"/>
      <c r="G2414" s="484"/>
      <c r="H2414" s="45"/>
      <c r="I2414" s="46"/>
      <c r="J2414" s="46"/>
      <c r="K2414" s="46"/>
      <c r="L2414" s="47"/>
      <c r="M2414" s="23"/>
      <c r="N2414" s="25"/>
    </row>
    <row r="2415" spans="1:17" ht="15" x14ac:dyDescent="0.25">
      <c r="A2415" s="121"/>
      <c r="B2415" s="23"/>
      <c r="C2415" s="79" t="s">
        <v>38</v>
      </c>
      <c r="D2415" s="75"/>
      <c r="E2415" s="76"/>
      <c r="F2415" s="483"/>
      <c r="G2415" s="484"/>
      <c r="H2415" s="48">
        <f>+$D$2424</f>
        <v>43850</v>
      </c>
      <c r="I2415" s="70"/>
      <c r="J2415" s="49"/>
      <c r="K2415" s="49"/>
      <c r="L2415" s="50">
        <f>+D2426</f>
        <v>3000000</v>
      </c>
      <c r="M2415" s="93">
        <f>-L2415</f>
        <v>-3000000</v>
      </c>
      <c r="N2415" s="25"/>
    </row>
    <row r="2416" spans="1:17" x14ac:dyDescent="0.25">
      <c r="A2416" s="121"/>
      <c r="B2416" s="23"/>
      <c r="C2416" s="59"/>
      <c r="D2416" s="73"/>
      <c r="E2416" s="74"/>
      <c r="F2416" s="483"/>
      <c r="G2416" s="484"/>
      <c r="H2416" s="51">
        <f>IF(DAY(H2415)=DAY($H$2415),IF(WEEKDAY(EDATE(H2415,$D$2427),3)&lt;5,EDATE(H2415,$D$2427),WORKDAY(EDATE(H2415,$D$2427),1)),IF(WEEKDAY(EDATE($H$2415,$D$2427*COUNT($H$2415:H2415)),3)&lt;5,EDATE($H$2415,$D$2427*COUNT($H$2415:H2415)),WORKDAY(EDATE($H$2415,$D$2427*COUNT($H$2415:H2415)),1)))</f>
        <v>43941</v>
      </c>
      <c r="I2416" s="71" t="s">
        <v>13</v>
      </c>
      <c r="J2416" s="52">
        <f>(IF(AND($D$2430&lt;&gt;"",$D$2430&gt;(AVERAGE(VLOOKUP(WORKDAY.INTL(H2416,-7,1,),'Tasas-TC'!A:B,2,FALSE),VLOOKUP(WORKDAY.INTL(H2415,-7,1,),'Tasas-TC'!A:B,2,FALSE))+$D$2429)),$D$2430,IF(AND($D$2431&lt;&gt;"",$D$2431&lt;(AVERAGE(VLOOKUP(WORKDAY.INTL(H2416,-7,1,),'Tasas-TC'!A:B,2,FALSE),VLOOKUP(WORKDAY.INTL(H2415,-7,1,),'Tasas-TC'!A:B,2,FALSE))+$D$2429)),$D$2431,(AVERAGE(VLOOKUP(WORKDAY.INTL(H2416,-7,1,),'Tasas-TC'!A:B,2,FALSE),VLOOKUP(WORKDAY.INTL(H2415,-7,1,),'Tasas-TC'!A:B,2,FALSE))+$D$2429)))/360)*(H2416-H2415)*L2415</f>
        <v>272611.35416666663</v>
      </c>
      <c r="K2416" s="52">
        <f>+IF(OR(I2416="A + C",I2416="A"),$D$2426*$D$2432,0)</f>
        <v>499800</v>
      </c>
      <c r="L2416" s="53">
        <f t="shared" ref="L2416:L2421" si="240">+L2415-K2416</f>
        <v>2500200</v>
      </c>
      <c r="M2416" s="94">
        <f t="shared" ref="M2416:M2421" si="241">+J2416+K2416</f>
        <v>772411.35416666663</v>
      </c>
      <c r="N2416" s="25"/>
    </row>
    <row r="2417" spans="1:14" x14ac:dyDescent="0.25">
      <c r="A2417" s="121"/>
      <c r="B2417" s="23"/>
      <c r="C2417" s="60"/>
      <c r="D2417" s="77"/>
      <c r="E2417" s="78"/>
      <c r="F2417" s="483"/>
      <c r="G2417" s="484"/>
      <c r="H2417" s="51">
        <f>IF(DAY(H2416)=DAY($H$2415),IF(WEEKDAY(EDATE(H2416,$D$2427),3)&lt;5,EDATE(H2416,$D$2427),WORKDAY(EDATE(H2416,$D$2427),1)),IF(WEEKDAY(EDATE($H$2415,$D$2427*COUNT($H$2415:H2416)),3)&lt;5,EDATE($H$2415,$D$2427*COUNT($H$2415:H2416)),WORKDAY(EDATE($H$2415,$D$2427*COUNT($H$2415:H2416)),1)))</f>
        <v>44032</v>
      </c>
      <c r="I2417" s="71" t="s">
        <v>13</v>
      </c>
      <c r="J2417" s="52">
        <f>(IF(AND($D$2430&lt;&gt;"",$D$2430&gt;(AVERAGE(VLOOKUP(WORKDAY.INTL(H2417,-7,1,),'Tasas-TC'!A:B,2,FALSE),VLOOKUP(WORKDAY.INTL(H2416,-7,1,),'Tasas-TC'!A:B,2,FALSE))+$D$2429)),$D$2430,IF(AND($D$2431&lt;&gt;"",$D$2431&lt;(AVERAGE(VLOOKUP(WORKDAY.INTL(H2417,-7,1,),'Tasas-TC'!A:B,2,FALSE),VLOOKUP(WORKDAY.INTL(H2416,-7,1,),'Tasas-TC'!A:B,2,FALSE))+$D$2429)),$D$2431,(AVERAGE(VLOOKUP(WORKDAY.INTL(H2417,-7,1,),'Tasas-TC'!A:B,2,FALSE),VLOOKUP(WORKDAY.INTL(H2416,-7,1,),'Tasas-TC'!A:B,2,FALSE))+$D$2429)))/360)*(H2417-H2416)*L2416</f>
        <v>200334.5150625</v>
      </c>
      <c r="K2417" s="52">
        <f>+IF(OR(I2417="A + C",I2417="A"),$D$2426*$D$2432,0)</f>
        <v>499800</v>
      </c>
      <c r="L2417" s="53">
        <f t="shared" si="240"/>
        <v>2000400</v>
      </c>
      <c r="M2417" s="94">
        <f t="shared" si="241"/>
        <v>700134.51506250002</v>
      </c>
      <c r="N2417" s="25"/>
    </row>
    <row r="2418" spans="1:14" x14ac:dyDescent="0.25">
      <c r="A2418" s="121"/>
      <c r="B2418" s="23"/>
      <c r="C2418" s="60"/>
      <c r="D2418" s="55" t="str">
        <f>+B2406</f>
        <v>Valerza I</v>
      </c>
      <c r="E2418" s="64"/>
      <c r="F2418" s="483"/>
      <c r="G2418" s="484">
        <f>+J2408</f>
        <v>0</v>
      </c>
      <c r="H2418" s="51">
        <f>IF(DAY(H2417)=DAY($H$2415),IF(WEEKDAY(EDATE(H2417,$D$2427),3)&lt;5,EDATE(H2417,$D$2427),WORKDAY(EDATE(H2417,$D$2427),1)),IF(WEEKDAY(EDATE($H$2415,$D$2427*COUNT($H$2415:H2417)),3)&lt;5,EDATE($H$2415,$D$2427*COUNT($H$2415:H2417)),WORKDAY(EDATE($H$2415,$D$2427*COUNT($H$2415:H2417)),1)))</f>
        <v>44124</v>
      </c>
      <c r="I2418" s="71" t="s">
        <v>13</v>
      </c>
      <c r="J2418" s="52">
        <f>(IF(AND($D$2430&lt;&gt;"",$D$2430&gt;(AVERAGE(VLOOKUP(WORKDAY.INTL(H2418,-7,1,),'Tasas-TC'!A:B,2,FALSE),VLOOKUP(WORKDAY.INTL(H2417,-7,1,),'Tasas-TC'!A:B,2,FALSE))+$D$2429)),$D$2430,IF(AND($D$2431&lt;&gt;"",$D$2431&lt;(AVERAGE(VLOOKUP(WORKDAY.INTL(H2418,-7,1,),'Tasas-TC'!A:B,2,FALSE),VLOOKUP(WORKDAY.INTL(H2417,-7,1,),'Tasas-TC'!A:B,2,FALSE))+$D$2429)),$D$2431,(AVERAGE(VLOOKUP(WORKDAY.INTL(H2418,-7,1,),'Tasas-TC'!A:B,2,FALSE),VLOOKUP(WORKDAY.INTL(H2417,-7,1,),'Tasas-TC'!A:B,2,FALSE))+$D$2429)))/360)*(H2418-H2417)*L2417</f>
        <v>182017.50733333337</v>
      </c>
      <c r="K2418" s="52">
        <f>+IF(OR(I2418="A + C",I2418="A"),$D$2426*$D$2433,0)</f>
        <v>500099.99999999994</v>
      </c>
      <c r="L2418" s="53">
        <f t="shared" si="240"/>
        <v>1500300</v>
      </c>
      <c r="M2418" s="94">
        <f t="shared" si="241"/>
        <v>682117.50733333337</v>
      </c>
      <c r="N2418" s="25"/>
    </row>
    <row r="2419" spans="1:14" x14ac:dyDescent="0.25">
      <c r="A2419" s="121"/>
      <c r="B2419" s="32"/>
      <c r="D2419" s="644"/>
      <c r="E2419" s="660"/>
      <c r="F2419" s="483"/>
      <c r="G2419" s="484"/>
      <c r="H2419" s="51">
        <f>IF(DAY(H2418)=DAY($H$2415),IF(WEEKDAY(EDATE(H2418,$D$2427),3)&lt;5,EDATE(H2418,$D$2427),WORKDAY(EDATE(H2418,$D$2427),1)),IF(WEEKDAY(EDATE($H$2415,$D$2427*COUNT($H$2415:H2418)),3)&lt;5,EDATE($H$2415,$D$2427*COUNT($H$2415:H2418)),WORKDAY(EDATE($H$2415,$D$2427*COUNT($H$2415:H2418)),1)))</f>
        <v>44216</v>
      </c>
      <c r="I2419" s="71" t="s">
        <v>13</v>
      </c>
      <c r="J2419" s="52">
        <f>(IF(AND($D$2430&lt;&gt;"",$D$2430&gt;(AVERAGE(VLOOKUP(WORKDAY.INTL(H2419,-7,1,),'Tasas-TC'!A:B,2,FALSE),VLOOKUP(WORKDAY.INTL(H2418,-7,1,),'Tasas-TC'!A:B,2,FALSE))+$D$2429)),$D$2430,IF(AND($D$2431&lt;&gt;"",$D$2431&lt;(AVERAGE(VLOOKUP(WORKDAY.INTL(H2419,-7,1,),'Tasas-TC'!A:B,2,FALSE),VLOOKUP(WORKDAY.INTL(H2418,-7,1,),'Tasas-TC'!A:B,2,FALSE))+$D$2429)),$D$2431,(AVERAGE(VLOOKUP(WORKDAY.INTL(H2419,-7,1,),'Tasas-TC'!A:B,2,FALSE),VLOOKUP(WORKDAY.INTL(H2418,-7,1,),'Tasas-TC'!A:B,2,FALSE))+$D$2429)))/360)*(H2419-H2418)*L2418</f>
        <v>145738.93362500001</v>
      </c>
      <c r="K2419" s="52">
        <f>+IF(OR(I2419="A + C",I2419="A"),$D$2426*$D$2433,0)</f>
        <v>500099.99999999994</v>
      </c>
      <c r="L2419" s="53">
        <f t="shared" si="240"/>
        <v>1000200</v>
      </c>
      <c r="M2419" s="94">
        <f t="shared" si="241"/>
        <v>645838.93362499995</v>
      </c>
      <c r="N2419" s="25"/>
    </row>
    <row r="2420" spans="1:14" ht="15" x14ac:dyDescent="0.25">
      <c r="A2420" s="121"/>
      <c r="B2420" s="23"/>
      <c r="C2420" s="638" t="s">
        <v>36</v>
      </c>
      <c r="D2420" s="640"/>
      <c r="E2420" s="36"/>
      <c r="F2420" s="483"/>
      <c r="G2420" s="484"/>
      <c r="H2420" s="51">
        <f>IF(DAY(H2419)=DAY($H$2415),IF(WEEKDAY(EDATE(H2419,$D$2427),3)&lt;5,EDATE(H2419,$D$2427),WORKDAY(EDATE(H2419,$D$2427),1)),IF(WEEKDAY(EDATE($H$2415,$D$2427*COUNT($H$2415:H2419)),3)&lt;5,EDATE($H$2415,$D$2427*COUNT($H$2415:H2419)),WORKDAY(EDATE($H$2415,$D$2427*COUNT($H$2415:H2419)),1)))</f>
        <v>44306</v>
      </c>
      <c r="I2420" s="71" t="s">
        <v>13</v>
      </c>
      <c r="J2420" s="52">
        <f>(IF(AND($D$2430&lt;&gt;"",$D$2430&gt;(AVERAGE(VLOOKUP(WORKDAY.INTL(H2420,-7,1,),'Tasas-TC'!A:B,2,FALSE),VLOOKUP(WORKDAY.INTL(H2419,-7,1,),'Tasas-TC'!A:B,2,FALSE))+$D$2429)),$D$2430,IF(AND($D$2431&lt;&gt;"",$D$2431&lt;(AVERAGE(VLOOKUP(WORKDAY.INTL(H2420,-7,1,),'Tasas-TC'!A:B,2,FALSE),VLOOKUP(WORKDAY.INTL(H2419,-7,1,),'Tasas-TC'!A:B,2,FALSE))+$D$2429)),$D$2431,(AVERAGE(VLOOKUP(WORKDAY.INTL(H2420,-7,1,),'Tasas-TC'!A:B,2,FALSE),VLOOKUP(WORKDAY.INTL(H2419,-7,1,),'Tasas-TC'!A:B,2,FALSE))+$D$2429)))/360)*(H2420-H2419)*L2419</f>
        <v>100438.83375000002</v>
      </c>
      <c r="K2420" s="52">
        <f>+IF(OR(I2420="A + C",I2420="A"),$D$2426*$D$2433,0)</f>
        <v>500099.99999999994</v>
      </c>
      <c r="L2420" s="53">
        <f t="shared" si="240"/>
        <v>500100.00000000006</v>
      </c>
      <c r="M2420" s="94">
        <f t="shared" si="241"/>
        <v>600538.83374999999</v>
      </c>
      <c r="N2420" s="25"/>
    </row>
    <row r="2421" spans="1:14" x14ac:dyDescent="0.25">
      <c r="A2421" s="121"/>
      <c r="B2421" s="23"/>
      <c r="C2421" s="59"/>
      <c r="D2421" s="62"/>
      <c r="E2421" s="36"/>
      <c r="F2421" s="483"/>
      <c r="G2421" s="484"/>
      <c r="H2421" s="51">
        <f>IF(DAY(H2420)=DAY($H$2415),IF(WEEKDAY(EDATE(H2420,$D$2427),3)&lt;5,EDATE(H2420,$D$2427),WORKDAY(EDATE(H2420,$D$2427),1)),IF(WEEKDAY(EDATE($H$2415,$D$2427*COUNT($H$2415:H2420)),3)&lt;5,EDATE($H$2415,$D$2427*COUNT($H$2415:H2420)),WORKDAY(EDATE($H$2415,$D$2427*COUNT($H$2415:H2420)),1)))</f>
        <v>44397</v>
      </c>
      <c r="I2421" s="71" t="s">
        <v>13</v>
      </c>
      <c r="J2421" s="52">
        <f>(IF(AND($D$2430&lt;&gt;"",$D$2430&gt;(AVERAGE(VLOOKUP(WORKDAY.INTL(H2421,-7,1,),'Tasas-TC'!A:B,2,FALSE),VLOOKUP(WORKDAY.INTL(H2420,-7,1,),'Tasas-TC'!A:B,2,FALSE))+$D$2429)),$D$2430,IF(AND($D$2431&lt;&gt;"",$D$2431&lt;(AVERAGE(VLOOKUP(WORKDAY.INTL(H2421,-7,1,),'Tasas-TC'!A:B,2,FALSE),VLOOKUP(WORKDAY.INTL(H2420,-7,1,),'Tasas-TC'!A:B,2,FALSE))+$D$2429)),$D$2431,(AVERAGE(VLOOKUP(WORKDAY.INTL(H2421,-7,1,),'Tasas-TC'!A:B,2,FALSE),VLOOKUP(WORKDAY.INTL(H2420,-7,1,),'Tasas-TC'!A:B,2,FALSE))+$D$2429)))/360)*(H2421-H2420)*L2420</f>
        <v>50698.401541666673</v>
      </c>
      <c r="K2421" s="52">
        <f>+IF(OR(I2421="A + C",I2421="A"),$D$2426*$D$2433,0)</f>
        <v>500099.99999999994</v>
      </c>
      <c r="L2421" s="53">
        <f t="shared" si="240"/>
        <v>0</v>
      </c>
      <c r="M2421" s="94">
        <f t="shared" si="241"/>
        <v>550798.40154166659</v>
      </c>
      <c r="N2421" s="25"/>
    </row>
    <row r="2422" spans="1:14" x14ac:dyDescent="0.25">
      <c r="A2422" s="121"/>
      <c r="B2422" s="23"/>
      <c r="C2422" s="59" t="s">
        <v>9</v>
      </c>
      <c r="D2422" s="98" t="s">
        <v>18</v>
      </c>
      <c r="E2422" s="36"/>
      <c r="F2422" s="483"/>
      <c r="G2422" s="484"/>
      <c r="H2422" s="54"/>
      <c r="I2422" s="61"/>
      <c r="J2422" s="55"/>
      <c r="K2422" s="56"/>
      <c r="L2422" s="57"/>
      <c r="M2422" s="95"/>
      <c r="N2422" s="25"/>
    </row>
    <row r="2423" spans="1:14" x14ac:dyDescent="0.25">
      <c r="A2423" s="121"/>
      <c r="B2423" s="23"/>
      <c r="C2423" s="59" t="s">
        <v>10</v>
      </c>
      <c r="D2423" s="65">
        <v>43845</v>
      </c>
      <c r="E2423" s="36"/>
      <c r="F2423" s="483"/>
      <c r="G2423" s="484"/>
      <c r="H2423" s="24"/>
      <c r="I2423" s="24"/>
      <c r="J2423" s="24"/>
      <c r="K2423" s="24"/>
      <c r="L2423" s="24"/>
      <c r="M2423" s="24"/>
      <c r="N2423" s="25"/>
    </row>
    <row r="2424" spans="1:14" ht="15" x14ac:dyDescent="0.25">
      <c r="A2424" s="121"/>
      <c r="B2424" s="23"/>
      <c r="C2424" s="59" t="s">
        <v>11</v>
      </c>
      <c r="D2424" s="65">
        <v>43850</v>
      </c>
      <c r="E2424" s="36"/>
      <c r="F2424" s="483"/>
      <c r="G2424" s="484"/>
      <c r="H2424" s="656" t="s">
        <v>43</v>
      </c>
      <c r="I2424" s="656"/>
      <c r="J2424" s="92">
        <v>0</v>
      </c>
      <c r="K2424" s="92"/>
      <c r="L2424" s="24"/>
      <c r="M2424" s="24"/>
      <c r="N2424" s="25"/>
    </row>
    <row r="2425" spans="1:14" ht="15" x14ac:dyDescent="0.25">
      <c r="A2425" s="121"/>
      <c r="B2425" s="23"/>
      <c r="C2425" s="59" t="s">
        <v>12</v>
      </c>
      <c r="D2425" s="65">
        <v>44397</v>
      </c>
      <c r="E2425" s="36"/>
      <c r="F2425" s="483"/>
      <c r="G2425" s="484"/>
      <c r="H2425" s="657"/>
      <c r="I2425" s="657"/>
      <c r="J2425" s="392"/>
      <c r="K2425" s="24"/>
      <c r="L2425" s="33"/>
      <c r="M2425" s="33"/>
      <c r="N2425" s="25"/>
    </row>
    <row r="2426" spans="1:14" x14ac:dyDescent="0.25">
      <c r="A2426" s="121"/>
      <c r="B2426" s="23"/>
      <c r="C2426" s="59" t="s">
        <v>27</v>
      </c>
      <c r="D2426" s="66">
        <v>3000000</v>
      </c>
      <c r="E2426" s="41"/>
      <c r="F2426" s="480"/>
      <c r="G2426" s="484"/>
      <c r="H2426" s="24"/>
      <c r="I2426" s="24"/>
      <c r="J2426" s="24"/>
      <c r="K2426" s="24"/>
      <c r="L2426" s="24"/>
      <c r="M2426" s="24"/>
      <c r="N2426" s="25"/>
    </row>
    <row r="2427" spans="1:14" ht="15" x14ac:dyDescent="0.25">
      <c r="A2427" s="121"/>
      <c r="B2427" s="23"/>
      <c r="C2427" s="59" t="s">
        <v>26</v>
      </c>
      <c r="D2427" s="66">
        <v>3</v>
      </c>
      <c r="E2427" s="36"/>
      <c r="F2427" s="480"/>
      <c r="G2427" s="485"/>
      <c r="H2427" s="638" t="s">
        <v>44</v>
      </c>
      <c r="I2427" s="639"/>
      <c r="J2427" s="639"/>
      <c r="K2427" s="639"/>
      <c r="L2427" s="639"/>
      <c r="M2427" s="640"/>
      <c r="N2427" s="25"/>
    </row>
    <row r="2428" spans="1:14" x14ac:dyDescent="0.25">
      <c r="A2428" s="121"/>
      <c r="B2428" s="23"/>
      <c r="C2428" s="59" t="s">
        <v>19</v>
      </c>
      <c r="D2428" s="67" t="s">
        <v>20</v>
      </c>
      <c r="E2428" s="43"/>
      <c r="F2428" s="480"/>
      <c r="G2428" s="485"/>
      <c r="H2428" s="23"/>
      <c r="I2428" s="24"/>
      <c r="J2428" s="24"/>
      <c r="K2428" s="24"/>
      <c r="L2428" s="24"/>
      <c r="M2428" s="25"/>
      <c r="N2428" s="25"/>
    </row>
    <row r="2429" spans="1:14" x14ac:dyDescent="0.25">
      <c r="A2429" s="121"/>
      <c r="B2429" s="23"/>
      <c r="C2429" s="59" t="s">
        <v>14</v>
      </c>
      <c r="D2429" s="68">
        <v>5.9799999999999999E-2</v>
      </c>
      <c r="E2429" s="43"/>
      <c r="F2429" s="480"/>
      <c r="G2429" s="485"/>
      <c r="H2429" s="23"/>
      <c r="I2429" s="24"/>
      <c r="J2429" s="24"/>
      <c r="K2429" s="24"/>
      <c r="L2429" s="24"/>
      <c r="M2429" s="25"/>
      <c r="N2429" s="25"/>
    </row>
    <row r="2430" spans="1:14" x14ac:dyDescent="0.25">
      <c r="A2430" s="121"/>
      <c r="B2430" s="23"/>
      <c r="C2430" s="59" t="s">
        <v>31</v>
      </c>
      <c r="D2430" s="68"/>
      <c r="E2430" s="43"/>
      <c r="F2430" s="480"/>
      <c r="G2430" s="485"/>
      <c r="H2430" s="96"/>
      <c r="I2430" s="35"/>
      <c r="J2430" s="24"/>
      <c r="K2430" s="24"/>
      <c r="L2430" s="24"/>
      <c r="M2430" s="25"/>
      <c r="N2430" s="25"/>
    </row>
    <row r="2431" spans="1:14" x14ac:dyDescent="0.25">
      <c r="A2431" s="121"/>
      <c r="B2431" s="23"/>
      <c r="C2431" s="59" t="s">
        <v>32</v>
      </c>
      <c r="D2431" s="68"/>
      <c r="E2431" s="44"/>
      <c r="F2431" s="480"/>
      <c r="G2431" s="485"/>
      <c r="H2431" s="23"/>
      <c r="I2431" s="24"/>
      <c r="J2431" s="24"/>
      <c r="K2431" s="24"/>
      <c r="L2431" s="24"/>
      <c r="M2431" s="25"/>
      <c r="N2431" s="25"/>
    </row>
    <row r="2432" spans="1:14" x14ac:dyDescent="0.25">
      <c r="A2432" s="121"/>
      <c r="B2432" s="23"/>
      <c r="C2432" s="59" t="s">
        <v>219</v>
      </c>
      <c r="D2432" s="69">
        <v>0.1666</v>
      </c>
      <c r="E2432" s="24"/>
      <c r="F2432" s="480"/>
      <c r="G2432" s="485"/>
      <c r="H2432" s="23"/>
      <c r="I2432" s="24"/>
      <c r="J2432" s="24"/>
      <c r="K2432" s="24"/>
      <c r="L2432" s="24"/>
      <c r="M2432" s="25"/>
      <c r="N2432" s="25"/>
    </row>
    <row r="2433" spans="1:14" x14ac:dyDescent="0.25">
      <c r="A2433" s="121"/>
      <c r="B2433" s="23"/>
      <c r="C2433" s="59" t="s">
        <v>220</v>
      </c>
      <c r="D2433" s="69">
        <v>0.16669999999999999</v>
      </c>
      <c r="E2433" s="24"/>
      <c r="F2433" s="480"/>
      <c r="G2433" s="485"/>
      <c r="H2433" s="23"/>
      <c r="I2433" s="24"/>
      <c r="J2433" s="24"/>
      <c r="K2433" s="24"/>
      <c r="L2433" s="24"/>
      <c r="M2433" s="25"/>
      <c r="N2433" s="25"/>
    </row>
    <row r="2434" spans="1:14" x14ac:dyDescent="0.25">
      <c r="A2434" s="121"/>
      <c r="B2434" s="23"/>
      <c r="C2434" s="63"/>
      <c r="D2434" s="64"/>
      <c r="E2434" s="24"/>
      <c r="F2434" s="480"/>
      <c r="G2434" s="485"/>
      <c r="H2434" s="23"/>
      <c r="I2434" s="24"/>
      <c r="J2434" s="24"/>
      <c r="K2434" s="24"/>
      <c r="L2434" s="24"/>
      <c r="M2434" s="25"/>
      <c r="N2434" s="25"/>
    </row>
    <row r="2435" spans="1:14" x14ac:dyDescent="0.25">
      <c r="A2435" s="121"/>
      <c r="B2435" s="23"/>
      <c r="C2435" s="24"/>
      <c r="D2435" s="24"/>
      <c r="E2435" s="24"/>
      <c r="F2435" s="480"/>
      <c r="G2435" s="485"/>
      <c r="H2435" s="23"/>
      <c r="I2435" s="24"/>
      <c r="J2435" s="24"/>
      <c r="K2435" s="24"/>
      <c r="L2435" s="24"/>
      <c r="M2435" s="25"/>
      <c r="N2435" s="25"/>
    </row>
    <row r="2436" spans="1:14" x14ac:dyDescent="0.25">
      <c r="A2436" s="121"/>
      <c r="B2436" s="23"/>
      <c r="C2436" s="24"/>
      <c r="D2436" s="24"/>
      <c r="E2436" s="24"/>
      <c r="F2436" s="480"/>
      <c r="G2436" s="485"/>
      <c r="H2436" s="23"/>
      <c r="I2436" s="24"/>
      <c r="J2436" s="24"/>
      <c r="K2436" s="24"/>
      <c r="L2436" s="24"/>
      <c r="M2436" s="25"/>
      <c r="N2436" s="25"/>
    </row>
    <row r="2437" spans="1:14" x14ac:dyDescent="0.25">
      <c r="A2437" s="121"/>
      <c r="B2437" s="23"/>
      <c r="C2437" s="24"/>
      <c r="D2437" s="24"/>
      <c r="E2437" s="24"/>
      <c r="F2437" s="480"/>
      <c r="G2437" s="485"/>
      <c r="H2437" s="23"/>
      <c r="I2437" s="24"/>
      <c r="J2437" s="24"/>
      <c r="K2437" s="24"/>
      <c r="L2437" s="24"/>
      <c r="M2437" s="25"/>
      <c r="N2437" s="25"/>
    </row>
    <row r="2438" spans="1:14" x14ac:dyDescent="0.25">
      <c r="A2438" s="121"/>
      <c r="B2438" s="23"/>
      <c r="C2438" s="24"/>
      <c r="D2438" s="24"/>
      <c r="E2438" s="24"/>
      <c r="F2438" s="480"/>
      <c r="G2438" s="485"/>
      <c r="H2438" s="23"/>
      <c r="I2438" s="24"/>
      <c r="J2438" s="24"/>
      <c r="K2438" s="24"/>
      <c r="L2438" s="24"/>
      <c r="M2438" s="25"/>
      <c r="N2438" s="25"/>
    </row>
    <row r="2439" spans="1:14" x14ac:dyDescent="0.25">
      <c r="A2439" s="121"/>
      <c r="B2439" s="23"/>
      <c r="C2439" s="24"/>
      <c r="D2439" s="24"/>
      <c r="E2439" s="24"/>
      <c r="F2439" s="480"/>
      <c r="G2439" s="485"/>
      <c r="H2439" s="26"/>
      <c r="I2439" s="27"/>
      <c r="J2439" s="27"/>
      <c r="K2439" s="27"/>
      <c r="L2439" s="27"/>
      <c r="M2439" s="28"/>
      <c r="N2439" s="25"/>
    </row>
    <row r="2440" spans="1:14" x14ac:dyDescent="0.25">
      <c r="A2440" s="121"/>
      <c r="B2440" s="26"/>
      <c r="C2440" s="27"/>
      <c r="D2440" s="27"/>
      <c r="E2440" s="27"/>
      <c r="F2440" s="481"/>
      <c r="G2440" s="486"/>
      <c r="H2440" s="27"/>
      <c r="I2440" s="27"/>
      <c r="J2440" s="27"/>
      <c r="K2440" s="27"/>
      <c r="L2440" s="27"/>
      <c r="M2440" s="27"/>
      <c r="N2440" s="28"/>
    </row>
    <row r="2441" spans="1:14" x14ac:dyDescent="0.25">
      <c r="A2441" s="121"/>
      <c r="B2441" s="23"/>
      <c r="C2441" s="24"/>
      <c r="D2441" s="24"/>
      <c r="E2441" s="24"/>
      <c r="F2441" s="480"/>
      <c r="G2441" s="480"/>
      <c r="H2441" s="24"/>
      <c r="I2441" s="24"/>
      <c r="J2441" s="24"/>
      <c r="K2441" s="24"/>
      <c r="L2441" s="24"/>
      <c r="M2441" s="24"/>
      <c r="N2441" s="25"/>
    </row>
    <row r="2442" spans="1:14" ht="18.75" x14ac:dyDescent="0.25">
      <c r="A2442" s="121"/>
      <c r="B2442" s="661" t="s">
        <v>212</v>
      </c>
      <c r="C2442" s="662"/>
      <c r="D2442" s="662"/>
      <c r="E2442" s="662"/>
      <c r="F2442" s="662"/>
      <c r="G2442" s="662"/>
      <c r="H2442" s="662"/>
      <c r="I2442" s="662"/>
      <c r="J2442" s="662"/>
      <c r="K2442" s="662"/>
      <c r="L2442" s="662"/>
      <c r="M2442" s="662"/>
      <c r="N2442" s="663"/>
    </row>
    <row r="2443" spans="1:14" x14ac:dyDescent="0.25">
      <c r="A2443" s="121"/>
      <c r="B2443" s="23"/>
      <c r="C2443" s="24"/>
      <c r="D2443" s="24"/>
      <c r="E2443" s="24"/>
      <c r="F2443" s="483"/>
      <c r="G2443" s="484"/>
      <c r="H2443" s="31"/>
      <c r="I2443" s="31"/>
      <c r="J2443" s="24"/>
      <c r="K2443" s="24"/>
      <c r="L2443" s="24"/>
      <c r="M2443" s="24"/>
      <c r="N2443" s="25"/>
    </row>
    <row r="2444" spans="1:14" ht="15" x14ac:dyDescent="0.25">
      <c r="A2444" s="121"/>
      <c r="B2444" s="23"/>
      <c r="C2444" s="638" t="s">
        <v>37</v>
      </c>
      <c r="D2444" s="639"/>
      <c r="E2444" s="640"/>
      <c r="F2444" s="483"/>
      <c r="G2444" s="484"/>
      <c r="H2444" s="641" t="s">
        <v>28</v>
      </c>
      <c r="I2444" s="642"/>
      <c r="J2444" s="39">
        <f>+$D$2462-SUMIF($H$2450:$H$2460,"&lt;"&amp;$M$4,$K$2450:$K$2460)</f>
        <v>0</v>
      </c>
      <c r="K2444" s="24"/>
      <c r="L2444" s="24"/>
      <c r="M2444" s="24"/>
      <c r="N2444" s="25"/>
    </row>
    <row r="2445" spans="1:14" ht="15" x14ac:dyDescent="0.25">
      <c r="A2445" s="121"/>
      <c r="B2445" s="23"/>
      <c r="C2445" s="58"/>
      <c r="D2445" s="664"/>
      <c r="E2445" s="665"/>
      <c r="F2445" s="483"/>
      <c r="G2445" s="484"/>
      <c r="H2445" s="645" t="s">
        <v>29</v>
      </c>
      <c r="I2445" s="646"/>
      <c r="J2445" s="40">
        <f>+$D$2461</f>
        <v>44556</v>
      </c>
      <c r="K2445" s="24"/>
      <c r="L2445" s="24"/>
      <c r="M2445" s="24"/>
      <c r="N2445" s="25"/>
    </row>
    <row r="2446" spans="1:14" ht="15" x14ac:dyDescent="0.25">
      <c r="A2446" s="121"/>
      <c r="B2446" s="23"/>
      <c r="C2446" s="59" t="s">
        <v>25</v>
      </c>
      <c r="D2446" s="658"/>
      <c r="E2446" s="659"/>
      <c r="F2446" s="483"/>
      <c r="G2446" s="484"/>
      <c r="H2446" s="649" t="s">
        <v>30</v>
      </c>
      <c r="I2446" s="650"/>
      <c r="J2446" s="42" t="str">
        <f t="array" ref="J2446">+IF(H2459&gt;=M4,MIN(IF($H$2450:$H$2460&gt;$M$4,$H$2450:$H$2460,"")),"vencida")</f>
        <v>vencida</v>
      </c>
      <c r="K2446" s="24"/>
      <c r="L2446" s="24"/>
      <c r="M2446" s="24"/>
      <c r="N2446" s="25"/>
    </row>
    <row r="2447" spans="1:14" x14ac:dyDescent="0.25">
      <c r="A2447" s="121"/>
      <c r="B2447" s="23"/>
      <c r="C2447" s="59" t="s">
        <v>6</v>
      </c>
      <c r="D2447" s="658" t="s">
        <v>216</v>
      </c>
      <c r="E2447" s="659"/>
      <c r="F2447" s="483"/>
      <c r="G2447" s="484"/>
      <c r="H2447" s="24"/>
      <c r="I2447" s="24"/>
      <c r="J2447" s="24"/>
      <c r="K2447" s="24"/>
      <c r="L2447" s="24"/>
      <c r="M2447" s="24"/>
      <c r="N2447" s="25"/>
    </row>
    <row r="2448" spans="1:14" x14ac:dyDescent="0.25">
      <c r="A2448" s="121"/>
      <c r="B2448" s="23"/>
      <c r="C2448" s="59" t="s">
        <v>8</v>
      </c>
      <c r="D2448" s="658" t="s">
        <v>17</v>
      </c>
      <c r="E2448" s="659"/>
      <c r="F2448" s="483"/>
      <c r="G2448" s="484"/>
      <c r="H2448" s="651" t="s">
        <v>41</v>
      </c>
      <c r="I2448" s="652"/>
      <c r="J2448" s="652"/>
      <c r="K2448" s="652"/>
      <c r="L2448" s="653"/>
      <c r="M2448" s="24"/>
      <c r="N2448" s="25"/>
    </row>
    <row r="2449" spans="1:14" ht="15" x14ac:dyDescent="0.25">
      <c r="A2449" s="121"/>
      <c r="B2449" s="23"/>
      <c r="C2449" s="59" t="s">
        <v>33</v>
      </c>
      <c r="D2449" s="73" t="s">
        <v>309</v>
      </c>
      <c r="E2449" s="273">
        <v>1</v>
      </c>
      <c r="F2449" s="483">
        <f>+E2449*J2444</f>
        <v>0</v>
      </c>
      <c r="G2449" s="484"/>
      <c r="H2449" s="81" t="s">
        <v>0</v>
      </c>
      <c r="I2449" s="82" t="s">
        <v>2</v>
      </c>
      <c r="J2449" s="82" t="s">
        <v>3</v>
      </c>
      <c r="K2449" s="82" t="s">
        <v>4</v>
      </c>
      <c r="L2449" s="83" t="s">
        <v>5</v>
      </c>
      <c r="M2449" s="82" t="s">
        <v>44</v>
      </c>
      <c r="N2449" s="25"/>
    </row>
    <row r="2450" spans="1:14" x14ac:dyDescent="0.25">
      <c r="A2450" s="121"/>
      <c r="B2450" s="23"/>
      <c r="C2450" s="59" t="s">
        <v>34</v>
      </c>
      <c r="D2450" s="658" t="s">
        <v>48</v>
      </c>
      <c r="E2450" s="659"/>
      <c r="F2450" s="483"/>
      <c r="G2450" s="484"/>
      <c r="H2450" s="45"/>
      <c r="I2450" s="46"/>
      <c r="J2450" s="46"/>
      <c r="K2450" s="46"/>
      <c r="L2450" s="47"/>
      <c r="M2450" s="23"/>
      <c r="N2450" s="25"/>
    </row>
    <row r="2451" spans="1:14" ht="15" x14ac:dyDescent="0.25">
      <c r="A2451" s="121"/>
      <c r="B2451" s="23"/>
      <c r="C2451" s="79" t="s">
        <v>38</v>
      </c>
      <c r="D2451" s="75"/>
      <c r="E2451" s="76"/>
      <c r="F2451" s="483"/>
      <c r="G2451" s="484"/>
      <c r="H2451" s="48">
        <f>+$D$2460</f>
        <v>43825</v>
      </c>
      <c r="I2451" s="70"/>
      <c r="J2451" s="49"/>
      <c r="K2451" s="49"/>
      <c r="L2451" s="50">
        <f>+D2462</f>
        <v>4000000</v>
      </c>
      <c r="M2451" s="93">
        <f>-L2451</f>
        <v>-4000000</v>
      </c>
      <c r="N2451" s="25"/>
    </row>
    <row r="2452" spans="1:14" x14ac:dyDescent="0.25">
      <c r="A2452" s="121"/>
      <c r="B2452" s="23"/>
      <c r="C2452" s="59"/>
      <c r="D2452" s="73"/>
      <c r="E2452" s="74"/>
      <c r="F2452" s="483"/>
      <c r="G2452" s="484"/>
      <c r="H2452" s="51">
        <f>IF(DAY(H2451)=DAY($H$2451),IF(WEEKDAY(EDATE(H2451,$D$2463),3)&lt;5,EDATE(H2451,$D$2463),WORKDAY(EDATE(H2451,$D$2463),1)),IF(WEEKDAY(EDATE($H$2451,$D$2463*COUNT($H$2451:H2451)),3)&lt;5,EDATE($H$2451,$D$2463*COUNT($H$2451:H2451)),WORKDAY(EDATE($H$2451,$D$2463*COUNT($H$2451:H2451)),1)))</f>
        <v>43916</v>
      </c>
      <c r="I2452" s="71" t="s">
        <v>13</v>
      </c>
      <c r="J2452" s="52">
        <f>(IF(AND($D$2466&lt;&gt;"",$D$2466&gt;(AVERAGE(VLOOKUP(WORKDAY.INTL(H2452,-7,1,),'Tasas-TC'!A:B,2,FALSE),VLOOKUP(WORKDAY.INTL(H2451,-7,1,),'Tasas-TC'!A:B,2,FALSE))+$D$2465)),$D$2466,IF(AND($D$2467&lt;&gt;"",$D$2467&lt;(AVERAGE(VLOOKUP(WORKDAY.INTL(H2452,-7,1,),'Tasas-TC'!A:B,2,FALSE),VLOOKUP(WORKDAY.INTL(H2451,-7,1,),'Tasas-TC'!A:B,2,FALSE))+$D$2465)),$D$2467,(AVERAGE(VLOOKUP(WORKDAY.INTL(H2452,-7,1,),'Tasas-TC'!A:B,2,FALSE),VLOOKUP(WORKDAY.INTL(H2451,-7,1,),'Tasas-TC'!A:B,2,FALSE))+$D$2465)))/360)*(H2452-H2451)*L2451</f>
        <v>428357.22222222231</v>
      </c>
      <c r="K2452" s="52">
        <f t="shared" ref="K2452:K2458" si="242">+IF(OR(I2452="A + C",I2452="A"),$D$2462*$D$2468,0)</f>
        <v>400000</v>
      </c>
      <c r="L2452" s="53">
        <f t="shared" ref="L2452:L2459" si="243">+L2451-K2452</f>
        <v>3600000</v>
      </c>
      <c r="M2452" s="94">
        <f t="shared" ref="M2452:M2459" si="244">+J2452+K2452</f>
        <v>828357.22222222225</v>
      </c>
      <c r="N2452" s="25"/>
    </row>
    <row r="2453" spans="1:14" x14ac:dyDescent="0.25">
      <c r="A2453" s="121"/>
      <c r="B2453" s="23"/>
      <c r="C2453" s="60"/>
      <c r="D2453" s="77"/>
      <c r="E2453" s="78"/>
      <c r="F2453" s="483"/>
      <c r="G2453" s="484"/>
      <c r="H2453" s="51">
        <f>IF(DAY(H2452)=DAY($H$2451),IF(WEEKDAY(EDATE(H2452,$D$2463),3)&lt;5,EDATE(H2452,$D$2463),WORKDAY(EDATE(H2452,$D$2463),1)),IF(WEEKDAY(EDATE($H$2451,$D$2463*COUNT($H$2451:H2452)),3)&lt;5,EDATE($H$2451,$D$2463*COUNT($H$2451:H2452)),WORKDAY(EDATE($H$2451,$D$2463*COUNT($H$2451:H2452)),1)))</f>
        <v>44008</v>
      </c>
      <c r="I2453" s="71" t="s">
        <v>13</v>
      </c>
      <c r="J2453" s="52">
        <f>(IF(AND($D$2466&lt;&gt;"",$D$2466&gt;(AVERAGE(VLOOKUP(WORKDAY.INTL(H2453,-7,1,),'Tasas-TC'!A:B,2,FALSE),VLOOKUP(WORKDAY.INTL(H2452,-7,1,),'Tasas-TC'!A:B,2,FALSE))+$D$2465)),$D$2466,IF(AND($D$2467&lt;&gt;"",$D$2467&lt;(AVERAGE(VLOOKUP(WORKDAY.INTL(H2453,-7,1,),'Tasas-TC'!A:B,2,FALSE),VLOOKUP(WORKDAY.INTL(H2452,-7,1,),'Tasas-TC'!A:B,2,FALSE))+$D$2465)),$D$2467,(AVERAGE(VLOOKUP(WORKDAY.INTL(H2453,-7,1,),'Tasas-TC'!A:B,2,FALSE),VLOOKUP(WORKDAY.INTL(H2452,-7,1,),'Tasas-TC'!A:B,2,FALSE))+$D$2465)))/360)*(H2453-H2452)*L2452</f>
        <v>337145.5</v>
      </c>
      <c r="K2453" s="52">
        <f t="shared" si="242"/>
        <v>400000</v>
      </c>
      <c r="L2453" s="53">
        <f t="shared" si="243"/>
        <v>3200000</v>
      </c>
      <c r="M2453" s="94">
        <f t="shared" si="244"/>
        <v>737145.5</v>
      </c>
      <c r="N2453" s="25"/>
    </row>
    <row r="2454" spans="1:14" x14ac:dyDescent="0.25">
      <c r="A2454" s="121"/>
      <c r="B2454" s="23"/>
      <c r="C2454" s="60"/>
      <c r="D2454" s="55" t="str">
        <f>+B2442</f>
        <v>Villa Nueva I</v>
      </c>
      <c r="E2454" s="64"/>
      <c r="F2454" s="483"/>
      <c r="G2454" s="484">
        <f>+J2444</f>
        <v>0</v>
      </c>
      <c r="H2454" s="51">
        <f>IF(DAY(H2453)=DAY($H$2451),IF(WEEKDAY(EDATE(H2453,$D$2463),3)&lt;5,EDATE(H2453,$D$2463),WORKDAY(EDATE(H2453,$D$2463),1)),IF(WEEKDAY(EDATE($H$2451,$D$2463*COUNT($H$2451:H2453)),3)&lt;5,EDATE($H$2451,$D$2463*COUNT($H$2451:H2453)),WORKDAY(EDATE($H$2451,$D$2463*COUNT($H$2451:H2453)),1)))</f>
        <v>44102</v>
      </c>
      <c r="I2454" s="71" t="s">
        <v>13</v>
      </c>
      <c r="J2454" s="52">
        <f>(IF(AND($D$2466&lt;&gt;"",$D$2466&gt;(AVERAGE(VLOOKUP(WORKDAY.INTL(H2454,-7,1,),'Tasas-TC'!A:B,2,FALSE),VLOOKUP(WORKDAY.INTL(H2453,-7,1,),'Tasas-TC'!A:B,2,FALSE))+$D$2465)),$D$2466,IF(AND($D$2467&lt;&gt;"",$D$2467&lt;(AVERAGE(VLOOKUP(WORKDAY.INTL(H2454,-7,1,),'Tasas-TC'!A:B,2,FALSE),VLOOKUP(WORKDAY.INTL(H2453,-7,1,),'Tasas-TC'!A:B,2,FALSE))+$D$2465)),$D$2467,(AVERAGE(VLOOKUP(WORKDAY.INTL(H2454,-7,1,),'Tasas-TC'!A:B,2,FALSE),VLOOKUP(WORKDAY.INTL(H2453,-7,1,),'Tasas-TC'!A:B,2,FALSE))+$D$2465)))/360)*(H2454-H2453)*L2453</f>
        <v>307766.4444444445</v>
      </c>
      <c r="K2454" s="52">
        <f t="shared" si="242"/>
        <v>400000</v>
      </c>
      <c r="L2454" s="53">
        <f t="shared" si="243"/>
        <v>2800000</v>
      </c>
      <c r="M2454" s="94">
        <f t="shared" si="244"/>
        <v>707766.4444444445</v>
      </c>
      <c r="N2454" s="25"/>
    </row>
    <row r="2455" spans="1:14" x14ac:dyDescent="0.25">
      <c r="A2455" s="121"/>
      <c r="B2455" s="32"/>
      <c r="D2455" s="644"/>
      <c r="E2455" s="660"/>
      <c r="F2455" s="483"/>
      <c r="G2455" s="484"/>
      <c r="H2455" s="51">
        <f>IF(DAY(H2454)=DAY($H$2451),IF(WEEKDAY(EDATE(H2454,$D$2463),3)&lt;5,EDATE(H2454,$D$2463),WORKDAY(EDATE(H2454,$D$2463),1)),IF(WEEKDAY(EDATE($H$2451,$D$2463*COUNT($H$2451:H2454)),3)&lt;5,EDATE($H$2451,$D$2463*COUNT($H$2451:H2454)),WORKDAY(EDATE($H$2451,$D$2463*COUNT($H$2451:H2454)),1)))</f>
        <v>44193</v>
      </c>
      <c r="I2455" s="71" t="s">
        <v>13</v>
      </c>
      <c r="J2455" s="52">
        <f>(IF(AND($D$2466&lt;&gt;"",$D$2466&gt;(AVERAGE(VLOOKUP(WORKDAY.INTL(H2455,-7,1,),'Tasas-TC'!A:B,2,FALSE),VLOOKUP(WORKDAY.INTL(H2454,-7,1,),'Tasas-TC'!A:B,2,FALSE))+$D$2465)),$D$2466,IF(AND($D$2467&lt;&gt;"",$D$2467&lt;(AVERAGE(VLOOKUP(WORKDAY.INTL(H2455,-7,1,),'Tasas-TC'!A:B,2,FALSE),VLOOKUP(WORKDAY.INTL(H2454,-7,1,),'Tasas-TC'!A:B,2,FALSE))+$D$2465)),$D$2467,(AVERAGE(VLOOKUP(WORKDAY.INTL(H2455,-7,1,),'Tasas-TC'!A:B,2,FALSE),VLOOKUP(WORKDAY.INTL(H2454,-7,1,),'Tasas-TC'!A:B,2,FALSE))+$D$2465)))/360)*(H2455-H2454)*L2454</f>
        <v>276183.73611111112</v>
      </c>
      <c r="K2455" s="52">
        <f t="shared" si="242"/>
        <v>400000</v>
      </c>
      <c r="L2455" s="53">
        <f t="shared" si="243"/>
        <v>2400000</v>
      </c>
      <c r="M2455" s="94">
        <f t="shared" si="244"/>
        <v>676183.73611111112</v>
      </c>
      <c r="N2455" s="25"/>
    </row>
    <row r="2456" spans="1:14" ht="15" x14ac:dyDescent="0.25">
      <c r="A2456" s="121"/>
      <c r="B2456" s="23"/>
      <c r="C2456" s="638" t="s">
        <v>36</v>
      </c>
      <c r="D2456" s="640"/>
      <c r="E2456" s="36"/>
      <c r="F2456" s="483"/>
      <c r="G2456" s="484"/>
      <c r="H2456" s="51">
        <f>IF(DAY(H2455)=DAY($H$2451),IF(WEEKDAY(EDATE(H2455,$D$2463),3)&lt;5,EDATE(H2455,$D$2463),WORKDAY(EDATE(H2455,$D$2463),1)),IF(WEEKDAY(EDATE($H$2451,$D$2463*COUNT($H$2451:H2455)),3)&lt;5,EDATE($H$2451,$D$2463*COUNT($H$2451:H2455)),WORKDAY(EDATE($H$2451,$D$2463*COUNT($H$2451:H2455)),1)))</f>
        <v>44281</v>
      </c>
      <c r="I2456" s="71" t="s">
        <v>13</v>
      </c>
      <c r="J2456" s="52">
        <f>(IF(AND($D$2466&lt;&gt;"",$D$2466&gt;(AVERAGE(VLOOKUP(WORKDAY.INTL(H2456,-7,1,),'Tasas-TC'!A:B,2,FALSE),VLOOKUP(WORKDAY.INTL(H2455,-7,1,),'Tasas-TC'!A:B,2,FALSE))+$D$2465)),$D$2466,IF(AND($D$2467&lt;&gt;"",$D$2467&lt;(AVERAGE(VLOOKUP(WORKDAY.INTL(H2456,-7,1,),'Tasas-TC'!A:B,2,FALSE),VLOOKUP(WORKDAY.INTL(H2455,-7,1,),'Tasas-TC'!A:B,2,FALSE))+$D$2465)),$D$2467,(AVERAGE(VLOOKUP(WORKDAY.INTL(H2456,-7,1,),'Tasas-TC'!A:B,2,FALSE),VLOOKUP(WORKDAY.INTL(H2455,-7,1,),'Tasas-TC'!A:B,2,FALSE))+$D$2465)))/360)*(H2456-H2455)*L2455</f>
        <v>241391.33333333334</v>
      </c>
      <c r="K2456" s="52">
        <f t="shared" si="242"/>
        <v>400000</v>
      </c>
      <c r="L2456" s="53">
        <f t="shared" si="243"/>
        <v>2000000</v>
      </c>
      <c r="M2456" s="94">
        <f t="shared" si="244"/>
        <v>641391.33333333337</v>
      </c>
      <c r="N2456" s="25"/>
    </row>
    <row r="2457" spans="1:14" x14ac:dyDescent="0.25">
      <c r="A2457" s="121"/>
      <c r="B2457" s="23"/>
      <c r="C2457" s="59"/>
      <c r="D2457" s="62"/>
      <c r="E2457" s="36"/>
      <c r="F2457" s="483"/>
      <c r="G2457" s="484"/>
      <c r="H2457" s="51">
        <f>IF(DAY(H2456)=DAY($H$2451),IF(WEEKDAY(EDATE(H2456,$D$2463),3)&lt;5,EDATE(H2456,$D$2463),WORKDAY(EDATE(H2456,$D$2463),1)),IF(WEEKDAY(EDATE($H$2451,$D$2463*COUNT($H$2451:H2456)),3)&lt;5,EDATE($H$2451,$D$2463*COUNT($H$2451:H2456)),WORKDAY(EDATE($H$2451,$D$2463*COUNT($H$2451:H2456)),1)))</f>
        <v>44375</v>
      </c>
      <c r="I2457" s="71" t="s">
        <v>13</v>
      </c>
      <c r="J2457" s="52">
        <f>(IF(AND($D$2466&lt;&gt;"",$D$2466&gt;(AVERAGE(VLOOKUP(WORKDAY.INTL(H2457,-7,1,),'Tasas-TC'!A:B,2,FALSE),VLOOKUP(WORKDAY.INTL(H2456,-7,1,),'Tasas-TC'!A:B,2,FALSE))+$D$2465)),$D$2466,IF(AND($D$2467&lt;&gt;"",$D$2467&lt;(AVERAGE(VLOOKUP(WORKDAY.INTL(H2457,-7,1,),'Tasas-TC'!A:B,2,FALSE),VLOOKUP(WORKDAY.INTL(H2456,-7,1,),'Tasas-TC'!A:B,2,FALSE))+$D$2465)),$D$2467,(AVERAGE(VLOOKUP(WORKDAY.INTL(H2457,-7,1,),'Tasas-TC'!A:B,2,FALSE),VLOOKUP(WORKDAY.INTL(H2456,-7,1,),'Tasas-TC'!A:B,2,FALSE))+$D$2465)))/360)*(H2457-H2456)*L2456</f>
        <v>214385.27777777781</v>
      </c>
      <c r="K2457" s="52">
        <f t="shared" si="242"/>
        <v>400000</v>
      </c>
      <c r="L2457" s="53">
        <f t="shared" si="243"/>
        <v>1600000</v>
      </c>
      <c r="M2457" s="94">
        <f t="shared" si="244"/>
        <v>614385.27777777775</v>
      </c>
      <c r="N2457" s="25"/>
    </row>
    <row r="2458" spans="1:14" x14ac:dyDescent="0.25">
      <c r="A2458" s="121"/>
      <c r="B2458" s="23"/>
      <c r="C2458" s="59" t="s">
        <v>9</v>
      </c>
      <c r="D2458" s="98" t="s">
        <v>18</v>
      </c>
      <c r="E2458" s="36"/>
      <c r="F2458" s="483"/>
      <c r="G2458" s="484"/>
      <c r="H2458" s="51">
        <f>IF(DAY(H2457)=DAY($H$2451),IF(WEEKDAY(EDATE(H2457,$D$2463),3)&lt;5,EDATE(H2457,$D$2463),WORKDAY(EDATE(H2457,$D$2463),1)),IF(WEEKDAY(EDATE($H$2451,$D$2463*COUNT($H$2451:H2457)),3)&lt;5,EDATE($H$2451,$D$2463*COUNT($H$2451:H2457)),WORKDAY(EDATE($H$2451,$D$2463*COUNT($H$2451:H2457)),1)))</f>
        <v>44466</v>
      </c>
      <c r="I2458" s="71" t="s">
        <v>13</v>
      </c>
      <c r="J2458" s="52">
        <f>(IF(AND($D$2466&lt;&gt;"",$D$2466&gt;(AVERAGE(VLOOKUP(WORKDAY.INTL(H2458,-7,1,),'Tasas-TC'!A:B,2,FALSE),VLOOKUP(WORKDAY.INTL(H2457,-7,1,),'Tasas-TC'!A:B,2,FALSE))+$D$2465)),$D$2466,IF(AND($D$2467&lt;&gt;"",$D$2467&lt;(AVERAGE(VLOOKUP(WORKDAY.INTL(H2458,-7,1,),'Tasas-TC'!A:B,2,FALSE),VLOOKUP(WORKDAY.INTL(H2457,-7,1,),'Tasas-TC'!A:B,2,FALSE))+$D$2465)),$D$2467,(AVERAGE(VLOOKUP(WORKDAY.INTL(H2458,-7,1,),'Tasas-TC'!A:B,2,FALSE),VLOOKUP(WORKDAY.INTL(H2457,-7,1,),'Tasas-TC'!A:B,2,FALSE))+$D$2465)))/360)*(H2458-H2457)*L2457</f>
        <v>166287.33333333337</v>
      </c>
      <c r="K2458" s="52">
        <f t="shared" si="242"/>
        <v>400000</v>
      </c>
      <c r="L2458" s="53">
        <f t="shared" si="243"/>
        <v>1200000</v>
      </c>
      <c r="M2458" s="94">
        <f t="shared" si="244"/>
        <v>566287.33333333337</v>
      </c>
      <c r="N2458" s="25"/>
    </row>
    <row r="2459" spans="1:14" x14ac:dyDescent="0.25">
      <c r="A2459" s="121"/>
      <c r="B2459" s="23"/>
      <c r="C2459" s="59" t="s">
        <v>10</v>
      </c>
      <c r="D2459" s="65">
        <v>43818</v>
      </c>
      <c r="E2459" s="36"/>
      <c r="F2459" s="483"/>
      <c r="G2459" s="484"/>
      <c r="H2459" s="51">
        <v>44556</v>
      </c>
      <c r="I2459" s="71" t="s">
        <v>13</v>
      </c>
      <c r="J2459" s="52">
        <f>(IF(AND($D$2466&lt;&gt;"",$D$2466&gt;(AVERAGE(VLOOKUP(WORKDAY.INTL(H2459,-7,1,),'Tasas-TC'!A:B,2,FALSE),VLOOKUP(WORKDAY.INTL(H2458,-7,1,),'Tasas-TC'!A:B,2,FALSE))+$D$2465)),$D$2466,IF(AND($D$2467&lt;&gt;"",$D$2467&lt;(AVERAGE(VLOOKUP(WORKDAY.INTL(H2459,-7,1,),'Tasas-TC'!A:B,2,FALSE),VLOOKUP(WORKDAY.INTL(H2458,-7,1,),'Tasas-TC'!A:B,2,FALSE))+$D$2465)),$D$2467,(AVERAGE(VLOOKUP(WORKDAY.INTL(H2459,-7,1,),'Tasas-TC'!A:B,2,FALSE),VLOOKUP(WORKDAY.INTL(H2458,-7,1,),'Tasas-TC'!A:B,2,FALSE))+$D$2465)))/360)*(H2459-H2458)*L2458</f>
        <v>123626.25000000001</v>
      </c>
      <c r="K2459" s="52">
        <f>+IF(OR(I2459="A + C",I2459="A"),$D$2462*$D$2469,0)</f>
        <v>1200000</v>
      </c>
      <c r="L2459" s="53">
        <f t="shared" si="243"/>
        <v>0</v>
      </c>
      <c r="M2459" s="94">
        <f t="shared" si="244"/>
        <v>1323626.25</v>
      </c>
      <c r="N2459" s="25"/>
    </row>
    <row r="2460" spans="1:14" x14ac:dyDescent="0.25">
      <c r="A2460" s="121"/>
      <c r="B2460" s="23"/>
      <c r="C2460" s="59" t="s">
        <v>11</v>
      </c>
      <c r="D2460" s="65">
        <v>43825</v>
      </c>
      <c r="E2460" s="36"/>
      <c r="F2460" s="483"/>
      <c r="G2460" s="484"/>
      <c r="H2460" s="54"/>
      <c r="I2460" s="61"/>
      <c r="J2460" s="55"/>
      <c r="K2460" s="56"/>
      <c r="L2460" s="57"/>
      <c r="M2460" s="95"/>
      <c r="N2460" s="25"/>
    </row>
    <row r="2461" spans="1:14" x14ac:dyDescent="0.25">
      <c r="A2461" s="121"/>
      <c r="B2461" s="23"/>
      <c r="C2461" s="59" t="s">
        <v>12</v>
      </c>
      <c r="D2461" s="65">
        <v>44556</v>
      </c>
      <c r="E2461" s="36"/>
      <c r="F2461" s="483"/>
      <c r="G2461" s="484"/>
      <c r="H2461" s="24"/>
      <c r="I2461" s="24"/>
      <c r="J2461" s="24"/>
      <c r="K2461" s="24"/>
      <c r="L2461" s="24"/>
      <c r="M2461" s="24"/>
      <c r="N2461" s="25"/>
    </row>
    <row r="2462" spans="1:14" ht="15" x14ac:dyDescent="0.25">
      <c r="A2462" s="121"/>
      <c r="B2462" s="23"/>
      <c r="C2462" s="59" t="s">
        <v>27</v>
      </c>
      <c r="D2462" s="66">
        <v>4000000</v>
      </c>
      <c r="E2462" s="41"/>
      <c r="F2462" s="480"/>
      <c r="G2462" s="484"/>
      <c r="H2462" s="656" t="s">
        <v>43</v>
      </c>
      <c r="I2462" s="656"/>
      <c r="J2462" s="92">
        <v>0</v>
      </c>
      <c r="K2462" s="92"/>
      <c r="L2462" s="24"/>
      <c r="M2462" s="24"/>
      <c r="N2462" s="25"/>
    </row>
    <row r="2463" spans="1:14" ht="15" x14ac:dyDescent="0.25">
      <c r="A2463" s="121"/>
      <c r="B2463" s="23"/>
      <c r="C2463" s="59" t="s">
        <v>26</v>
      </c>
      <c r="D2463" s="66">
        <v>3</v>
      </c>
      <c r="E2463" s="36"/>
      <c r="F2463" s="480"/>
      <c r="G2463" s="484"/>
      <c r="H2463" s="657"/>
      <c r="I2463" s="657"/>
      <c r="J2463" s="392"/>
      <c r="K2463" s="24"/>
      <c r="L2463" s="33"/>
      <c r="M2463" s="33"/>
      <c r="N2463" s="25"/>
    </row>
    <row r="2464" spans="1:14" x14ac:dyDescent="0.25">
      <c r="A2464" s="121"/>
      <c r="B2464" s="23"/>
      <c r="C2464" s="59" t="s">
        <v>19</v>
      </c>
      <c r="D2464" s="67" t="s">
        <v>20</v>
      </c>
      <c r="E2464" s="43"/>
      <c r="F2464" s="480"/>
      <c r="G2464" s="484"/>
      <c r="H2464" s="24"/>
      <c r="I2464" s="24"/>
      <c r="J2464" s="24"/>
      <c r="K2464" s="24"/>
      <c r="L2464" s="24"/>
      <c r="M2464" s="24"/>
      <c r="N2464" s="25"/>
    </row>
    <row r="2465" spans="1:14" ht="15" x14ac:dyDescent="0.25">
      <c r="A2465" s="121"/>
      <c r="B2465" s="23"/>
      <c r="C2465" s="59" t="s">
        <v>14</v>
      </c>
      <c r="D2465" s="68">
        <v>6.9900000000000004E-2</v>
      </c>
      <c r="E2465" s="43"/>
      <c r="F2465" s="480"/>
      <c r="G2465" s="485"/>
      <c r="H2465" s="638" t="s">
        <v>44</v>
      </c>
      <c r="I2465" s="639"/>
      <c r="J2465" s="639"/>
      <c r="K2465" s="639"/>
      <c r="L2465" s="639"/>
      <c r="M2465" s="640"/>
      <c r="N2465" s="25"/>
    </row>
    <row r="2466" spans="1:14" x14ac:dyDescent="0.25">
      <c r="A2466" s="121"/>
      <c r="B2466" s="23"/>
      <c r="C2466" s="59" t="s">
        <v>31</v>
      </c>
      <c r="D2466" s="68"/>
      <c r="E2466" s="43"/>
      <c r="F2466" s="480"/>
      <c r="G2466" s="485"/>
      <c r="H2466" s="23"/>
      <c r="I2466" s="24"/>
      <c r="J2466" s="24"/>
      <c r="K2466" s="24"/>
      <c r="L2466" s="24"/>
      <c r="M2466" s="25"/>
      <c r="N2466" s="25"/>
    </row>
    <row r="2467" spans="1:14" x14ac:dyDescent="0.25">
      <c r="A2467" s="121"/>
      <c r="B2467" s="23"/>
      <c r="C2467" s="59" t="s">
        <v>32</v>
      </c>
      <c r="D2467" s="68"/>
      <c r="E2467" s="44"/>
      <c r="F2467" s="480"/>
      <c r="G2467" s="485"/>
      <c r="H2467" s="23"/>
      <c r="I2467" s="24"/>
      <c r="J2467" s="24"/>
      <c r="K2467" s="24"/>
      <c r="L2467" s="24"/>
      <c r="M2467" s="25"/>
      <c r="N2467" s="25"/>
    </row>
    <row r="2468" spans="1:14" x14ac:dyDescent="0.25">
      <c r="A2468" s="121"/>
      <c r="B2468" s="23"/>
      <c r="C2468" s="59" t="s">
        <v>217</v>
      </c>
      <c r="D2468" s="69">
        <v>0.1</v>
      </c>
      <c r="E2468" s="24"/>
      <c r="F2468" s="480"/>
      <c r="G2468" s="485"/>
      <c r="H2468" s="96"/>
      <c r="I2468" s="35"/>
      <c r="J2468" s="24"/>
      <c r="K2468" s="24"/>
      <c r="L2468" s="24"/>
      <c r="M2468" s="25"/>
      <c r="N2468" s="25"/>
    </row>
    <row r="2469" spans="1:14" x14ac:dyDescent="0.25">
      <c r="A2469" s="121"/>
      <c r="B2469" s="23"/>
      <c r="C2469" s="59" t="s">
        <v>78</v>
      </c>
      <c r="D2469" s="69">
        <v>0.3</v>
      </c>
      <c r="E2469" s="24"/>
      <c r="F2469" s="480"/>
      <c r="G2469" s="485"/>
      <c r="H2469" s="23"/>
      <c r="I2469" s="24"/>
      <c r="J2469" s="24"/>
      <c r="K2469" s="24"/>
      <c r="L2469" s="24"/>
      <c r="M2469" s="25"/>
      <c r="N2469" s="25"/>
    </row>
    <row r="2470" spans="1:14" x14ac:dyDescent="0.25">
      <c r="A2470" s="121"/>
      <c r="B2470" s="23"/>
      <c r="C2470" s="63"/>
      <c r="D2470" s="64"/>
      <c r="E2470" s="24"/>
      <c r="F2470" s="480"/>
      <c r="G2470" s="485"/>
      <c r="H2470" s="23"/>
      <c r="I2470" s="24"/>
      <c r="J2470" s="24"/>
      <c r="K2470" s="24"/>
      <c r="L2470" s="24"/>
      <c r="M2470" s="25"/>
      <c r="N2470" s="25"/>
    </row>
    <row r="2471" spans="1:14" x14ac:dyDescent="0.25">
      <c r="A2471" s="121"/>
      <c r="B2471" s="23"/>
      <c r="C2471" s="24"/>
      <c r="D2471" s="24"/>
      <c r="E2471" s="24"/>
      <c r="F2471" s="480"/>
      <c r="G2471" s="485"/>
      <c r="H2471" s="23"/>
      <c r="I2471" s="24"/>
      <c r="J2471" s="24"/>
      <c r="K2471" s="24"/>
      <c r="L2471" s="24"/>
      <c r="M2471" s="25"/>
      <c r="N2471" s="25"/>
    </row>
    <row r="2472" spans="1:14" x14ac:dyDescent="0.25">
      <c r="A2472" s="121"/>
      <c r="B2472" s="23"/>
      <c r="C2472" s="24"/>
      <c r="D2472" s="24"/>
      <c r="E2472" s="24"/>
      <c r="F2472" s="480"/>
      <c r="G2472" s="485"/>
      <c r="H2472" s="23"/>
      <c r="I2472" s="24"/>
      <c r="J2472" s="24"/>
      <c r="K2472" s="24"/>
      <c r="L2472" s="24"/>
      <c r="M2472" s="25"/>
      <c r="N2472" s="25"/>
    </row>
    <row r="2473" spans="1:14" x14ac:dyDescent="0.25">
      <c r="A2473" s="121"/>
      <c r="B2473" s="23"/>
      <c r="C2473" s="24"/>
      <c r="D2473" s="24"/>
      <c r="E2473" s="24"/>
      <c r="F2473" s="480"/>
      <c r="G2473" s="485"/>
      <c r="H2473" s="23"/>
      <c r="I2473" s="24"/>
      <c r="J2473" s="24"/>
      <c r="K2473" s="24"/>
      <c r="L2473" s="24"/>
      <c r="M2473" s="25"/>
      <c r="N2473" s="25"/>
    </row>
    <row r="2474" spans="1:14" x14ac:dyDescent="0.25">
      <c r="A2474" s="121"/>
      <c r="B2474" s="23"/>
      <c r="C2474" s="24"/>
      <c r="D2474" s="24"/>
      <c r="E2474" s="24"/>
      <c r="F2474" s="480"/>
      <c r="G2474" s="485"/>
      <c r="H2474" s="23"/>
      <c r="I2474" s="24"/>
      <c r="J2474" s="24"/>
      <c r="K2474" s="24"/>
      <c r="L2474" s="24"/>
      <c r="M2474" s="25"/>
      <c r="N2474" s="25"/>
    </row>
    <row r="2475" spans="1:14" x14ac:dyDescent="0.25">
      <c r="A2475" s="121"/>
      <c r="B2475" s="23"/>
      <c r="C2475" s="24"/>
      <c r="D2475" s="24"/>
      <c r="E2475" s="24"/>
      <c r="F2475" s="480"/>
      <c r="G2475" s="485"/>
      <c r="H2475" s="23"/>
      <c r="I2475" s="24"/>
      <c r="J2475" s="24"/>
      <c r="K2475" s="24"/>
      <c r="L2475" s="24"/>
      <c r="M2475" s="25"/>
      <c r="N2475" s="25"/>
    </row>
    <row r="2476" spans="1:14" x14ac:dyDescent="0.25">
      <c r="A2476" s="121"/>
      <c r="B2476" s="23"/>
      <c r="C2476" s="24"/>
      <c r="D2476" s="24"/>
      <c r="E2476" s="24"/>
      <c r="F2476" s="480"/>
      <c r="G2476" s="485"/>
      <c r="H2476" s="23"/>
      <c r="I2476" s="24"/>
      <c r="J2476" s="24"/>
      <c r="K2476" s="24"/>
      <c r="L2476" s="24"/>
      <c r="M2476" s="25"/>
      <c r="N2476" s="25"/>
    </row>
    <row r="2477" spans="1:14" x14ac:dyDescent="0.25">
      <c r="A2477" s="121"/>
      <c r="B2477" s="23"/>
      <c r="C2477" s="24"/>
      <c r="D2477" s="24"/>
      <c r="E2477" s="24"/>
      <c r="F2477" s="480"/>
      <c r="G2477" s="485"/>
      <c r="H2477" s="26"/>
      <c r="I2477" s="27"/>
      <c r="J2477" s="27"/>
      <c r="K2477" s="27"/>
      <c r="L2477" s="27"/>
      <c r="M2477" s="28"/>
      <c r="N2477" s="25"/>
    </row>
    <row r="2478" spans="1:14" x14ac:dyDescent="0.25">
      <c r="A2478" s="121"/>
      <c r="B2478" s="26"/>
      <c r="C2478" s="27"/>
      <c r="D2478" s="27"/>
      <c r="E2478" s="27"/>
      <c r="F2478" s="481"/>
      <c r="G2478" s="486"/>
      <c r="H2478" s="27"/>
      <c r="I2478" s="27"/>
      <c r="J2478" s="27"/>
      <c r="K2478" s="27"/>
      <c r="L2478" s="27"/>
      <c r="M2478" s="27"/>
      <c r="N2478" s="28"/>
    </row>
    <row r="2479" spans="1:14" x14ac:dyDescent="0.25">
      <c r="A2479" s="121"/>
      <c r="B2479" s="23"/>
      <c r="C2479" s="24"/>
      <c r="D2479" s="24"/>
      <c r="E2479" s="24"/>
      <c r="F2479" s="480"/>
      <c r="G2479" s="480"/>
      <c r="H2479" s="24"/>
      <c r="I2479" s="24"/>
      <c r="J2479" s="24"/>
      <c r="K2479" s="24"/>
      <c r="L2479" s="24"/>
      <c r="M2479" s="24"/>
      <c r="N2479" s="25"/>
    </row>
    <row r="2480" spans="1:14" ht="18.75" x14ac:dyDescent="0.25">
      <c r="A2480" s="121"/>
      <c r="B2480" s="661" t="s">
        <v>188</v>
      </c>
      <c r="C2480" s="662"/>
      <c r="D2480" s="662"/>
      <c r="E2480" s="662"/>
      <c r="F2480" s="662"/>
      <c r="G2480" s="662"/>
      <c r="H2480" s="662"/>
      <c r="I2480" s="662"/>
      <c r="J2480" s="662"/>
      <c r="K2480" s="662"/>
      <c r="L2480" s="662"/>
      <c r="M2480" s="662"/>
      <c r="N2480" s="663"/>
    </row>
    <row r="2481" spans="1:14" x14ac:dyDescent="0.25">
      <c r="A2481" s="121"/>
      <c r="B2481" s="23"/>
      <c r="C2481" s="24"/>
      <c r="D2481" s="24"/>
      <c r="E2481" s="24"/>
      <c r="F2481" s="483"/>
      <c r="G2481" s="484"/>
      <c r="H2481" s="31"/>
      <c r="I2481" s="31"/>
      <c r="J2481" s="24"/>
      <c r="K2481" s="24"/>
      <c r="L2481" s="24"/>
      <c r="M2481" s="24"/>
      <c r="N2481" s="25"/>
    </row>
    <row r="2482" spans="1:14" ht="15" x14ac:dyDescent="0.25">
      <c r="A2482" s="121"/>
      <c r="B2482" s="23"/>
      <c r="C2482" s="638" t="s">
        <v>37</v>
      </c>
      <c r="D2482" s="639"/>
      <c r="E2482" s="640"/>
      <c r="F2482" s="483"/>
      <c r="G2482" s="484"/>
      <c r="H2482" s="641" t="s">
        <v>28</v>
      </c>
      <c r="I2482" s="642"/>
      <c r="J2482" s="39">
        <f>+$D$2500-SUMIF($H$2488:$H$2502,"&lt;"&amp;$M$4,$K$2488:$K$2502)</f>
        <v>0</v>
      </c>
      <c r="K2482" s="24"/>
      <c r="L2482" s="24"/>
      <c r="M2482" s="24"/>
      <c r="N2482" s="25"/>
    </row>
    <row r="2483" spans="1:14" ht="15" x14ac:dyDescent="0.25">
      <c r="A2483" s="121"/>
      <c r="B2483" s="23"/>
      <c r="C2483" s="58"/>
      <c r="D2483" s="664"/>
      <c r="E2483" s="665"/>
      <c r="F2483" s="483"/>
      <c r="G2483" s="484"/>
      <c r="H2483" s="645" t="s">
        <v>29</v>
      </c>
      <c r="I2483" s="646"/>
      <c r="J2483" s="40">
        <f>+$D$2499</f>
        <v>44575</v>
      </c>
      <c r="K2483" s="24"/>
      <c r="L2483" s="24"/>
      <c r="M2483" s="24"/>
      <c r="N2483" s="25"/>
    </row>
    <row r="2484" spans="1:14" ht="15" x14ac:dyDescent="0.25">
      <c r="A2484" s="121"/>
      <c r="B2484" s="23"/>
      <c r="C2484" s="59" t="s">
        <v>25</v>
      </c>
      <c r="D2484" s="658"/>
      <c r="E2484" s="659"/>
      <c r="F2484" s="483"/>
      <c r="G2484" s="484"/>
      <c r="H2484" s="649" t="s">
        <v>30</v>
      </c>
      <c r="I2484" s="650"/>
      <c r="J2484" s="42" t="str">
        <f>+IF(H2501&gt;=$M$4,MIN(IF(H2488:H2502&gt;=$M$4,H2488:H2502,"")),"vencida")</f>
        <v>vencida</v>
      </c>
      <c r="K2484" s="24"/>
      <c r="L2484" s="24"/>
      <c r="M2484" s="24"/>
      <c r="N2484" s="25"/>
    </row>
    <row r="2485" spans="1:14" x14ac:dyDescent="0.25">
      <c r="A2485" s="121"/>
      <c r="B2485" s="23"/>
      <c r="C2485" s="59" t="s">
        <v>6</v>
      </c>
      <c r="D2485" s="658" t="s">
        <v>189</v>
      </c>
      <c r="E2485" s="659"/>
      <c r="F2485" s="483"/>
      <c r="G2485" s="484"/>
      <c r="H2485" s="24"/>
      <c r="I2485" s="24"/>
      <c r="J2485" s="24"/>
      <c r="K2485" s="24"/>
      <c r="L2485" s="24"/>
      <c r="M2485" s="24"/>
      <c r="N2485" s="25"/>
    </row>
    <row r="2486" spans="1:14" x14ac:dyDescent="0.25">
      <c r="A2486" s="121"/>
      <c r="B2486" s="23"/>
      <c r="C2486" s="59" t="s">
        <v>8</v>
      </c>
      <c r="D2486" s="658" t="s">
        <v>17</v>
      </c>
      <c r="E2486" s="659"/>
      <c r="F2486" s="483"/>
      <c r="G2486" s="484"/>
      <c r="H2486" s="651" t="s">
        <v>41</v>
      </c>
      <c r="I2486" s="652"/>
      <c r="J2486" s="652"/>
      <c r="K2486" s="652"/>
      <c r="L2486" s="653"/>
      <c r="M2486" s="24"/>
      <c r="N2486" s="25"/>
    </row>
    <row r="2487" spans="1:14" ht="15" x14ac:dyDescent="0.25">
      <c r="A2487" s="121"/>
      <c r="B2487" s="23"/>
      <c r="C2487" s="59" t="s">
        <v>33</v>
      </c>
      <c r="D2487" s="73" t="s">
        <v>309</v>
      </c>
      <c r="E2487" s="273">
        <v>1</v>
      </c>
      <c r="F2487" s="483">
        <f>+E2487*J2482</f>
        <v>0</v>
      </c>
      <c r="G2487" s="484"/>
      <c r="H2487" s="81" t="s">
        <v>0</v>
      </c>
      <c r="I2487" s="82" t="s">
        <v>2</v>
      </c>
      <c r="J2487" s="82" t="s">
        <v>3</v>
      </c>
      <c r="K2487" s="82" t="s">
        <v>4</v>
      </c>
      <c r="L2487" s="83" t="s">
        <v>5</v>
      </c>
      <c r="M2487" s="82" t="s">
        <v>44</v>
      </c>
      <c r="N2487" s="25"/>
    </row>
    <row r="2488" spans="1:14" x14ac:dyDescent="0.25">
      <c r="A2488" s="121"/>
      <c r="B2488" s="23"/>
      <c r="C2488" s="59" t="s">
        <v>34</v>
      </c>
      <c r="D2488" s="658" t="s">
        <v>35</v>
      </c>
      <c r="E2488" s="659"/>
      <c r="F2488" s="483"/>
      <c r="G2488" s="484"/>
      <c r="H2488" s="45"/>
      <c r="I2488" s="46"/>
      <c r="J2488" s="46"/>
      <c r="K2488" s="46"/>
      <c r="L2488" s="47"/>
      <c r="M2488" s="23"/>
      <c r="N2488" s="25"/>
    </row>
    <row r="2489" spans="1:14" ht="15" x14ac:dyDescent="0.25">
      <c r="A2489" s="121"/>
      <c r="B2489" s="23"/>
      <c r="C2489" s="79" t="s">
        <v>38</v>
      </c>
      <c r="D2489" s="75"/>
      <c r="E2489" s="76"/>
      <c r="F2489" s="483"/>
      <c r="G2489" s="484"/>
      <c r="H2489" s="48">
        <f>+$D$2498</f>
        <v>43479</v>
      </c>
      <c r="I2489" s="70"/>
      <c r="J2489" s="49"/>
      <c r="K2489" s="49"/>
      <c r="L2489" s="50">
        <f>+D2500</f>
        <v>8000000</v>
      </c>
      <c r="M2489" s="93">
        <f>-L2489</f>
        <v>-8000000</v>
      </c>
      <c r="N2489" s="25"/>
    </row>
    <row r="2490" spans="1:14" x14ac:dyDescent="0.25">
      <c r="A2490" s="121"/>
      <c r="B2490" s="23"/>
      <c r="C2490" s="59"/>
      <c r="D2490" s="73"/>
      <c r="E2490" s="74"/>
      <c r="F2490" s="483"/>
      <c r="G2490" s="484"/>
      <c r="H2490" s="51">
        <f>IF(DAY(H2489)=DAY($H$2489),IF(WEEKDAY(EDATE(H2489,$D$2501),3)&lt;5,EDATE(H2489,$D$2501),WORKDAY(EDATE(H2489,$D$2501),1)),IF(WEEKDAY(EDATE($H$2489,$D$2501*COUNT($H$2489:H2489)),3)&lt;5,EDATE($H$2489,$D$2501*COUNT($H$2489:H2489)),WORKDAY(EDATE($H$2489,$D$2501*COUNT($H$2489:H2489)),1)))</f>
        <v>43570</v>
      </c>
      <c r="I2490" s="71" t="s">
        <v>13</v>
      </c>
      <c r="J2490" s="52">
        <v>1132444.4444444443</v>
      </c>
      <c r="K2490" s="52">
        <f t="shared" ref="K2490:K2499" si="245">+IF(OR(I2490="A + C",I2490="A"),$D$2500*$D$2506,0)</f>
        <v>667200</v>
      </c>
      <c r="L2490" s="53">
        <f t="shared" ref="L2490:L2501" si="246">+L2489-K2490</f>
        <v>7332800</v>
      </c>
      <c r="M2490" s="94">
        <f t="shared" ref="M2490:M2501" si="247">+J2490+K2490</f>
        <v>1799644.4444444443</v>
      </c>
      <c r="N2490" s="25"/>
    </row>
    <row r="2491" spans="1:14" x14ac:dyDescent="0.25">
      <c r="A2491" s="121"/>
      <c r="B2491" s="23"/>
      <c r="C2491" s="60"/>
      <c r="D2491" s="77"/>
      <c r="E2491" s="78"/>
      <c r="F2491" s="483"/>
      <c r="G2491" s="484"/>
      <c r="H2491" s="51">
        <f>IF(DAY(H2490)=DAY($H$2489),IF(WEEKDAY(EDATE(H2490,$D$2501),3)&lt;5,EDATE(H2490,$D$2501),WORKDAY(EDATE(H2490,$D$2501),1)),IF(WEEKDAY(EDATE($H$2489,$D$2501*COUNT($H$2489:H2490)),3)&lt;5,EDATE($H$2489,$D$2501*COUNT($H$2489:H2490)),WORKDAY(EDATE($H$2489,$D$2501*COUNT($H$2489:H2490)),1)))</f>
        <v>43661</v>
      </c>
      <c r="I2491" s="71" t="s">
        <v>13</v>
      </c>
      <c r="J2491" s="52">
        <v>1046687.1819444444</v>
      </c>
      <c r="K2491" s="52">
        <f t="shared" si="245"/>
        <v>667200</v>
      </c>
      <c r="L2491" s="53">
        <f t="shared" si="246"/>
        <v>6665600</v>
      </c>
      <c r="M2491" s="94">
        <f t="shared" si="247"/>
        <v>1713887.1819444443</v>
      </c>
      <c r="N2491" s="25"/>
    </row>
    <row r="2492" spans="1:14" x14ac:dyDescent="0.25">
      <c r="A2492" s="121"/>
      <c r="B2492" s="23"/>
      <c r="C2492" s="60"/>
      <c r="D2492" s="55" t="str">
        <f>+B2480</f>
        <v>Villanueva e Hijos II</v>
      </c>
      <c r="E2492" s="64"/>
      <c r="F2492" s="483"/>
      <c r="G2492" s="484">
        <f>+J2482</f>
        <v>0</v>
      </c>
      <c r="H2492" s="51">
        <f>IF(DAY(H2491)=DAY($H$2489),IF(WEEKDAY(EDATE(H2491,$D$2501),3)&lt;5,EDATE(H2491,$D$2501),WORKDAY(EDATE(H2491,$D$2501),1)),IF(WEEKDAY(EDATE($H$2489,$D$2501*COUNT($H$2489:H2491)),3)&lt;5,EDATE($H$2489,$D$2501*COUNT($H$2489:H2491)),WORKDAY(EDATE($H$2489,$D$2501*COUNT($H$2489:H2491)),1)))</f>
        <v>43752</v>
      </c>
      <c r="I2492" s="71" t="s">
        <v>13</v>
      </c>
      <c r="J2492" s="52">
        <v>1041488.4277777775</v>
      </c>
      <c r="K2492" s="52">
        <f t="shared" si="245"/>
        <v>667200</v>
      </c>
      <c r="L2492" s="53">
        <f t="shared" si="246"/>
        <v>5998400</v>
      </c>
      <c r="M2492" s="94">
        <f t="shared" si="247"/>
        <v>1708688.4277777774</v>
      </c>
      <c r="N2492" s="25"/>
    </row>
    <row r="2493" spans="1:14" x14ac:dyDescent="0.25">
      <c r="A2493" s="121"/>
      <c r="B2493" s="32"/>
      <c r="D2493" s="644"/>
      <c r="E2493" s="660"/>
      <c r="F2493" s="483"/>
      <c r="G2493" s="484"/>
      <c r="H2493" s="51">
        <f>IF(DAY(H2492)=DAY($H$2489),IF(WEEKDAY(EDATE(H2492,$D$2501),3)&lt;5,EDATE(H2492,$D$2501),WORKDAY(EDATE(H2492,$D$2501),1)),IF(WEEKDAY(EDATE($H$2489,$D$2501*COUNT($H$2489:H2492)),3)&lt;5,EDATE($H$2489,$D$2501*COUNT($H$2489:H2492)),WORKDAY(EDATE($H$2489,$D$2501*COUNT($H$2489:H2492)),1)))</f>
        <v>43844</v>
      </c>
      <c r="I2493" s="71" t="s">
        <v>13</v>
      </c>
      <c r="J2493" s="52">
        <v>873287.89444444445</v>
      </c>
      <c r="K2493" s="52">
        <f t="shared" si="245"/>
        <v>667200</v>
      </c>
      <c r="L2493" s="53">
        <f t="shared" si="246"/>
        <v>5331200</v>
      </c>
      <c r="M2493" s="94">
        <f t="shared" si="247"/>
        <v>1540487.8944444444</v>
      </c>
      <c r="N2493" s="25"/>
    </row>
    <row r="2494" spans="1:14" ht="15" x14ac:dyDescent="0.25">
      <c r="A2494" s="121"/>
      <c r="B2494" s="23"/>
      <c r="C2494" s="638" t="s">
        <v>36</v>
      </c>
      <c r="D2494" s="640"/>
      <c r="E2494" s="36"/>
      <c r="F2494" s="483"/>
      <c r="G2494" s="484"/>
      <c r="H2494" s="51">
        <f>IF(DAY(H2493)=DAY($H$2489),IF(WEEKDAY(EDATE(H2493,$D$2501),3)&lt;5,EDATE(H2493,$D$2501),WORKDAY(EDATE(H2493,$D$2501),1)),IF(WEEKDAY(EDATE($H$2489,$D$2501*COUNT($H$2489:H2493)),3)&lt;5,EDATE($H$2489,$D$2501*COUNT($H$2489:H2493)),WORKDAY(EDATE($H$2489,$D$2501*COUNT($H$2489:H2493)),1)))</f>
        <v>43935</v>
      </c>
      <c r="I2494" s="71" t="s">
        <v>13</v>
      </c>
      <c r="J2494" s="52">
        <v>544939.3444444444</v>
      </c>
      <c r="K2494" s="52">
        <f t="shared" si="245"/>
        <v>667200</v>
      </c>
      <c r="L2494" s="53">
        <f t="shared" si="246"/>
        <v>4664000</v>
      </c>
      <c r="M2494" s="94">
        <f t="shared" si="247"/>
        <v>1212139.3444444444</v>
      </c>
      <c r="N2494" s="25"/>
    </row>
    <row r="2495" spans="1:14" x14ac:dyDescent="0.25">
      <c r="A2495" s="121"/>
      <c r="B2495" s="23"/>
      <c r="C2495" s="59"/>
      <c r="D2495" s="62"/>
      <c r="E2495" s="36"/>
      <c r="F2495" s="483"/>
      <c r="G2495" s="484"/>
      <c r="H2495" s="51">
        <f>IF(DAY(H2494)=DAY($H$2489),IF(WEEKDAY(EDATE(H2494,$D$2501),3)&lt;5,EDATE(H2494,$D$2501),WORKDAY(EDATE(H2494,$D$2501),1)),IF(WEEKDAY(EDATE($H$2489,$D$2501*COUNT($H$2489:H2494)),3)&lt;5,EDATE($H$2489,$D$2501*COUNT($H$2489:H2494)),WORKDAY(EDATE($H$2489,$D$2501*COUNT($H$2489:H2494)),1)))</f>
        <v>44026</v>
      </c>
      <c r="I2495" s="71" t="s">
        <v>13</v>
      </c>
      <c r="J2495" s="52">
        <v>402318.58333333337</v>
      </c>
      <c r="K2495" s="52">
        <f t="shared" si="245"/>
        <v>667200</v>
      </c>
      <c r="L2495" s="53">
        <f t="shared" si="246"/>
        <v>3996800</v>
      </c>
      <c r="M2495" s="94">
        <f t="shared" si="247"/>
        <v>1069518.5833333335</v>
      </c>
      <c r="N2495" s="25"/>
    </row>
    <row r="2496" spans="1:14" x14ac:dyDescent="0.25">
      <c r="A2496" s="121"/>
      <c r="B2496" s="23"/>
      <c r="C2496" s="59" t="s">
        <v>9</v>
      </c>
      <c r="D2496" s="98" t="s">
        <v>18</v>
      </c>
      <c r="E2496" s="36"/>
      <c r="F2496" s="483"/>
      <c r="G2496" s="484"/>
      <c r="H2496" s="51">
        <f>IF(DAY(H2495)=DAY($H$2489),IF(WEEKDAY(EDATE(H2495,$D$2501),3)&lt;5,EDATE(H2495,$D$2501),WORKDAY(EDATE(H2495,$D$2501),1)),IF(WEEKDAY(EDATE($H$2489,$D$2501*COUNT($H$2489:H2495)),3)&lt;5,EDATE($H$2489,$D$2501*COUNT($H$2489:H2495)),WORKDAY(EDATE($H$2489,$D$2501*COUNT($H$2489:H2495)),1)))</f>
        <v>44118</v>
      </c>
      <c r="I2496" s="71" t="s">
        <v>13</v>
      </c>
      <c r="J2496" s="52">
        <v>348554.26666666666</v>
      </c>
      <c r="K2496" s="52">
        <f t="shared" si="245"/>
        <v>667200</v>
      </c>
      <c r="L2496" s="53">
        <f t="shared" si="246"/>
        <v>3329600</v>
      </c>
      <c r="M2496" s="94">
        <f t="shared" si="247"/>
        <v>1015754.2666666666</v>
      </c>
      <c r="N2496" s="25"/>
    </row>
    <row r="2497" spans="1:14" x14ac:dyDescent="0.25">
      <c r="A2497" s="121"/>
      <c r="B2497" s="23"/>
      <c r="C2497" s="59" t="s">
        <v>10</v>
      </c>
      <c r="D2497" s="65">
        <v>43474</v>
      </c>
      <c r="E2497" s="36"/>
      <c r="F2497" s="483"/>
      <c r="G2497" s="484"/>
      <c r="H2497" s="51">
        <f>IF(DAY(H2496)=DAY($H$2489),IF(WEEKDAY(EDATE(H2496,$D$2501),3)&lt;5,EDATE(H2496,$D$2501),WORKDAY(EDATE(H2496,$D$2501),1)),IF(WEEKDAY(EDATE($H$2489,$D$2501*COUNT($H$2489:H2496)),3)&lt;5,EDATE($H$2489,$D$2501*COUNT($H$2489:H2496)),WORKDAY(EDATE($H$2489,$D$2501*COUNT($H$2489:H2496)),1)))</f>
        <v>44210</v>
      </c>
      <c r="I2497" s="71" t="s">
        <v>13</v>
      </c>
      <c r="J2497" s="52">
        <v>290368.86666666664</v>
      </c>
      <c r="K2497" s="52">
        <f t="shared" si="245"/>
        <v>667200</v>
      </c>
      <c r="L2497" s="53">
        <f t="shared" si="246"/>
        <v>2662400</v>
      </c>
      <c r="M2497" s="94">
        <f t="shared" si="247"/>
        <v>957568.8666666667</v>
      </c>
      <c r="N2497" s="25"/>
    </row>
    <row r="2498" spans="1:14" x14ac:dyDescent="0.25">
      <c r="A2498" s="121"/>
      <c r="B2498" s="23"/>
      <c r="C2498" s="59" t="s">
        <v>11</v>
      </c>
      <c r="D2498" s="65">
        <v>43479</v>
      </c>
      <c r="E2498" s="36"/>
      <c r="F2498" s="483"/>
      <c r="G2498" s="484"/>
      <c r="H2498" s="51">
        <f>IF(DAY(H2497)=DAY($H$2489),IF(WEEKDAY(EDATE(H2497,$D$2501),3)&lt;5,EDATE(H2497,$D$2501),WORKDAY(EDATE(H2497,$D$2501),1)),IF(WEEKDAY(EDATE($H$2489,$D$2501*COUNT($H$2489:H2497)),3)&lt;5,EDATE($H$2489,$D$2501*COUNT($H$2489:H2497)),WORKDAY(EDATE($H$2489,$D$2501*COUNT($H$2489:H2497)),1)))</f>
        <v>44300</v>
      </c>
      <c r="I2498" s="71" t="s">
        <v>13</v>
      </c>
      <c r="J2498" s="52">
        <v>227136</v>
      </c>
      <c r="K2498" s="52">
        <f t="shared" si="245"/>
        <v>667200</v>
      </c>
      <c r="L2498" s="53">
        <f t="shared" si="246"/>
        <v>1995200</v>
      </c>
      <c r="M2498" s="94">
        <f t="shared" si="247"/>
        <v>894336</v>
      </c>
      <c r="N2498" s="25"/>
    </row>
    <row r="2499" spans="1:14" x14ac:dyDescent="0.25">
      <c r="A2499" s="121"/>
      <c r="B2499" s="23"/>
      <c r="C2499" s="59" t="s">
        <v>12</v>
      </c>
      <c r="D2499" s="65">
        <v>44575</v>
      </c>
      <c r="E2499" s="36"/>
      <c r="F2499" s="483"/>
      <c r="G2499" s="484"/>
      <c r="H2499" s="51">
        <f>IF(DAY(H2498)=DAY($H$2489),IF(WEEKDAY(EDATE(H2498,$D$2501),3)&lt;5,EDATE(H2498,$D$2501),WORKDAY(EDATE(H2498,$D$2501),1)),IF(WEEKDAY(EDATE($H$2489,$D$2501*COUNT($H$2489:H2498)),3)&lt;5,EDATE($H$2489,$D$2501*COUNT($H$2489:H2498)),WORKDAY(EDATE($H$2489,$D$2501*COUNT($H$2489:H2498)),1)))</f>
        <v>44391</v>
      </c>
      <c r="I2499" s="71" t="s">
        <v>13</v>
      </c>
      <c r="J2499" s="52">
        <v>172106.78333333335</v>
      </c>
      <c r="K2499" s="52">
        <f t="shared" si="245"/>
        <v>667200</v>
      </c>
      <c r="L2499" s="53">
        <f t="shared" si="246"/>
        <v>1328000</v>
      </c>
      <c r="M2499" s="94">
        <f t="shared" si="247"/>
        <v>839306.78333333333</v>
      </c>
      <c r="N2499" s="25"/>
    </row>
    <row r="2500" spans="1:14" x14ac:dyDescent="0.25">
      <c r="A2500" s="121"/>
      <c r="B2500" s="23"/>
      <c r="C2500" s="59" t="s">
        <v>27</v>
      </c>
      <c r="D2500" s="66">
        <v>8000000</v>
      </c>
      <c r="E2500" s="41"/>
      <c r="F2500" s="480"/>
      <c r="G2500" s="484"/>
      <c r="H2500" s="51">
        <f>IF(DAY(H2499)=DAY($H$2489),IF(WEEKDAY(EDATE(H2499,$D$2501),3)&lt;5,EDATE(H2499,$D$2501),WORKDAY(EDATE(H2499,$D$2501),1)),IF(WEEKDAY(EDATE($H$2489,$D$2501*COUNT($H$2489:H2499)),3)&lt;5,EDATE($H$2489,$D$2501*COUNT($H$2489:H2499)),WORKDAY(EDATE($H$2489,$D$2501*COUNT($H$2489:H2499)),1)))</f>
        <v>44483</v>
      </c>
      <c r="I2500" s="71" t="s">
        <v>13</v>
      </c>
      <c r="J2500" s="52">
        <v>115812.66666666667</v>
      </c>
      <c r="K2500" s="52">
        <f>+IF(OR(I2500="A + C",I2500="A"),$D$2500*$D$2507,0)</f>
        <v>664000</v>
      </c>
      <c r="L2500" s="53">
        <f t="shared" si="246"/>
        <v>664000</v>
      </c>
      <c r="M2500" s="94">
        <f t="shared" si="247"/>
        <v>779812.66666666663</v>
      </c>
      <c r="N2500" s="25"/>
    </row>
    <row r="2501" spans="1:14" x14ac:dyDescent="0.25">
      <c r="A2501" s="121"/>
      <c r="B2501" s="23"/>
      <c r="C2501" s="59" t="s">
        <v>26</v>
      </c>
      <c r="D2501" s="66">
        <v>3</v>
      </c>
      <c r="E2501" s="36"/>
      <c r="F2501" s="480"/>
      <c r="G2501" s="484"/>
      <c r="H2501" s="51">
        <f>IF(DAY(H2500)=DAY($H$2489),IF(WEEKDAY(EDATE(H2500,$D$2501),3)&lt;5,EDATE(H2500,$D$2501),WORKDAY(EDATE(H2500,$D$2501),1)),IF(WEEKDAY(EDATE($H$2489,$D$2501*COUNT($H$2489:H2500)),3)&lt;5,EDATE($H$2489,$D$2501*COUNT($H$2489:H2500)),WORKDAY(EDATE($H$2489,$D$2501*COUNT($H$2489:H2500)),1)))</f>
        <v>44575</v>
      </c>
      <c r="I2501" s="71" t="s">
        <v>13</v>
      </c>
      <c r="J2501" s="52">
        <v>57906.333333333336</v>
      </c>
      <c r="K2501" s="52">
        <f>+IF(OR(I2501="A + C",I2501="A"),$D$2500*$D$2507,0)</f>
        <v>664000</v>
      </c>
      <c r="L2501" s="53">
        <f t="shared" si="246"/>
        <v>0</v>
      </c>
      <c r="M2501" s="94">
        <f t="shared" si="247"/>
        <v>721906.33333333337</v>
      </c>
      <c r="N2501" s="25"/>
    </row>
    <row r="2502" spans="1:14" x14ac:dyDescent="0.25">
      <c r="A2502" s="121"/>
      <c r="B2502" s="23"/>
      <c r="C2502" s="59" t="s">
        <v>19</v>
      </c>
      <c r="D2502" s="67" t="s">
        <v>20</v>
      </c>
      <c r="E2502" s="43"/>
      <c r="F2502" s="480"/>
      <c r="G2502" s="484"/>
      <c r="H2502" s="54"/>
      <c r="I2502" s="104"/>
      <c r="J2502" s="105"/>
      <c r="K2502" s="105"/>
      <c r="L2502" s="106"/>
      <c r="M2502" s="109"/>
      <c r="N2502" s="25"/>
    </row>
    <row r="2503" spans="1:14" x14ac:dyDescent="0.25">
      <c r="A2503" s="121"/>
      <c r="B2503" s="23"/>
      <c r="C2503" s="59" t="s">
        <v>14</v>
      </c>
      <c r="D2503" s="68">
        <v>0.08</v>
      </c>
      <c r="E2503" s="43"/>
      <c r="F2503" s="480"/>
      <c r="G2503" s="484"/>
      <c r="H2503" s="109"/>
      <c r="I2503" s="109"/>
      <c r="J2503" s="109"/>
      <c r="K2503" s="109"/>
      <c r="L2503" s="109"/>
      <c r="M2503" s="109"/>
      <c r="N2503" s="25"/>
    </row>
    <row r="2504" spans="1:14" ht="15" x14ac:dyDescent="0.25">
      <c r="A2504" s="121"/>
      <c r="B2504" s="23"/>
      <c r="C2504" s="59" t="s">
        <v>31</v>
      </c>
      <c r="D2504" s="68"/>
      <c r="E2504" s="43"/>
      <c r="F2504" s="480"/>
      <c r="G2504" s="484"/>
      <c r="H2504" s="656" t="s">
        <v>43</v>
      </c>
      <c r="I2504" s="656"/>
      <c r="J2504" s="92">
        <v>0</v>
      </c>
      <c r="K2504" s="92"/>
      <c r="L2504" s="24"/>
      <c r="M2504" s="24"/>
      <c r="N2504" s="25"/>
    </row>
    <row r="2505" spans="1:14" x14ac:dyDescent="0.25">
      <c r="A2505" s="121"/>
      <c r="B2505" s="23"/>
      <c r="C2505" s="59" t="s">
        <v>32</v>
      </c>
      <c r="D2505" s="68"/>
      <c r="E2505" s="44"/>
      <c r="F2505" s="480"/>
      <c r="G2505" s="484"/>
      <c r="H2505" s="24"/>
      <c r="I2505" s="24"/>
      <c r="J2505" s="24"/>
      <c r="K2505" s="24"/>
      <c r="L2505" s="33"/>
      <c r="M2505" s="33"/>
      <c r="N2505" s="25"/>
    </row>
    <row r="2506" spans="1:14" x14ac:dyDescent="0.25">
      <c r="A2506" s="121"/>
      <c r="B2506" s="23"/>
      <c r="C2506" s="59" t="s">
        <v>80</v>
      </c>
      <c r="D2506" s="68">
        <v>8.3400000000000002E-2</v>
      </c>
      <c r="E2506" s="24"/>
      <c r="F2506" s="480"/>
      <c r="G2506" s="484"/>
      <c r="H2506" s="24"/>
      <c r="I2506" s="24"/>
      <c r="J2506" s="24"/>
      <c r="K2506" s="24"/>
      <c r="L2506" s="33"/>
      <c r="M2506" s="33"/>
      <c r="N2506" s="25"/>
    </row>
    <row r="2507" spans="1:14" x14ac:dyDescent="0.25">
      <c r="A2507" s="121"/>
      <c r="B2507" s="23"/>
      <c r="C2507" s="59" t="s">
        <v>81</v>
      </c>
      <c r="D2507" s="68">
        <v>8.3000000000000004E-2</v>
      </c>
      <c r="E2507" s="24"/>
      <c r="F2507" s="480"/>
      <c r="G2507" s="484"/>
      <c r="H2507" s="24"/>
      <c r="I2507" s="24"/>
      <c r="J2507" s="24"/>
      <c r="K2507" s="24"/>
      <c r="L2507" s="24"/>
      <c r="M2507" s="24"/>
      <c r="N2507" s="25"/>
    </row>
    <row r="2508" spans="1:14" ht="15" x14ac:dyDescent="0.25">
      <c r="A2508" s="121"/>
      <c r="B2508" s="23"/>
      <c r="C2508" s="60"/>
      <c r="D2508" s="110"/>
      <c r="E2508" s="24"/>
      <c r="F2508" s="480"/>
      <c r="G2508" s="485"/>
      <c r="H2508" s="638" t="s">
        <v>44</v>
      </c>
      <c r="I2508" s="639"/>
      <c r="J2508" s="639"/>
      <c r="K2508" s="639"/>
      <c r="L2508" s="639"/>
      <c r="M2508" s="640"/>
      <c r="N2508" s="25"/>
    </row>
    <row r="2509" spans="1:14" x14ac:dyDescent="0.25">
      <c r="A2509" s="121"/>
      <c r="B2509" s="23"/>
      <c r="C2509" s="24"/>
      <c r="D2509" s="24"/>
      <c r="E2509" s="24"/>
      <c r="F2509" s="480"/>
      <c r="G2509" s="485"/>
      <c r="H2509" s="23"/>
      <c r="I2509" s="24"/>
      <c r="J2509" s="24"/>
      <c r="K2509" s="24"/>
      <c r="L2509" s="24"/>
      <c r="M2509" s="25"/>
      <c r="N2509" s="25"/>
    </row>
    <row r="2510" spans="1:14" x14ac:dyDescent="0.25">
      <c r="A2510" s="121"/>
      <c r="B2510" s="23"/>
      <c r="C2510" s="24"/>
      <c r="D2510" s="24"/>
      <c r="E2510" s="24"/>
      <c r="F2510" s="480"/>
      <c r="G2510" s="485"/>
      <c r="H2510" s="23"/>
      <c r="I2510" s="24"/>
      <c r="J2510" s="24"/>
      <c r="K2510" s="24"/>
      <c r="L2510" s="24"/>
      <c r="M2510" s="25"/>
      <c r="N2510" s="25"/>
    </row>
    <row r="2511" spans="1:14" x14ac:dyDescent="0.25">
      <c r="A2511" s="121"/>
      <c r="B2511" s="23"/>
      <c r="C2511" s="24"/>
      <c r="D2511" s="24"/>
      <c r="E2511" s="24"/>
      <c r="F2511" s="480"/>
      <c r="G2511" s="485"/>
      <c r="H2511" s="96"/>
      <c r="I2511" s="35"/>
      <c r="J2511" s="24"/>
      <c r="K2511" s="24"/>
      <c r="L2511" s="24"/>
      <c r="M2511" s="25"/>
      <c r="N2511" s="25"/>
    </row>
    <row r="2512" spans="1:14" x14ac:dyDescent="0.25">
      <c r="A2512" s="121"/>
      <c r="B2512" s="23"/>
      <c r="C2512" s="24"/>
      <c r="D2512" s="24"/>
      <c r="E2512" s="24"/>
      <c r="F2512" s="480"/>
      <c r="G2512" s="485"/>
      <c r="H2512" s="23"/>
      <c r="I2512" s="24"/>
      <c r="J2512" s="24"/>
      <c r="K2512" s="24"/>
      <c r="L2512" s="24"/>
      <c r="M2512" s="25"/>
      <c r="N2512" s="25"/>
    </row>
    <row r="2513" spans="1:14" x14ac:dyDescent="0.25">
      <c r="A2513" s="121"/>
      <c r="B2513" s="23"/>
      <c r="C2513" s="24"/>
      <c r="D2513" s="24"/>
      <c r="E2513" s="24"/>
      <c r="F2513" s="480"/>
      <c r="G2513" s="485"/>
      <c r="H2513" s="23"/>
      <c r="I2513" s="24"/>
      <c r="J2513" s="24"/>
      <c r="K2513" s="24"/>
      <c r="L2513" s="24"/>
      <c r="M2513" s="25"/>
      <c r="N2513" s="25"/>
    </row>
    <row r="2514" spans="1:14" x14ac:dyDescent="0.25">
      <c r="A2514" s="121"/>
      <c r="B2514" s="23"/>
      <c r="C2514" s="24"/>
      <c r="D2514" s="24"/>
      <c r="E2514" s="24"/>
      <c r="F2514" s="480"/>
      <c r="G2514" s="485"/>
      <c r="H2514" s="23"/>
      <c r="I2514" s="24"/>
      <c r="J2514" s="24"/>
      <c r="K2514" s="24"/>
      <c r="L2514" s="24"/>
      <c r="M2514" s="25"/>
      <c r="N2514" s="25"/>
    </row>
    <row r="2515" spans="1:14" x14ac:dyDescent="0.25">
      <c r="A2515" s="121"/>
      <c r="B2515" s="23"/>
      <c r="C2515" s="24"/>
      <c r="D2515" s="24"/>
      <c r="E2515" s="24"/>
      <c r="F2515" s="480"/>
      <c r="G2515" s="485"/>
      <c r="H2515" s="23"/>
      <c r="I2515" s="24"/>
      <c r="J2515" s="24"/>
      <c r="K2515" s="24"/>
      <c r="L2515" s="24"/>
      <c r="M2515" s="25"/>
      <c r="N2515" s="25"/>
    </row>
    <row r="2516" spans="1:14" x14ac:dyDescent="0.25">
      <c r="A2516" s="121"/>
      <c r="B2516" s="23"/>
      <c r="C2516" s="24"/>
      <c r="D2516" s="24"/>
      <c r="E2516" s="24"/>
      <c r="F2516" s="480"/>
      <c r="G2516" s="485"/>
      <c r="H2516" s="23"/>
      <c r="I2516" s="24"/>
      <c r="J2516" s="24"/>
      <c r="K2516" s="24"/>
      <c r="L2516" s="24"/>
      <c r="M2516" s="25"/>
      <c r="N2516" s="25"/>
    </row>
    <row r="2517" spans="1:14" x14ac:dyDescent="0.25">
      <c r="A2517" s="121"/>
      <c r="B2517" s="23"/>
      <c r="C2517" s="24"/>
      <c r="D2517" s="24"/>
      <c r="E2517" s="24"/>
      <c r="F2517" s="480"/>
      <c r="G2517" s="485"/>
      <c r="H2517" s="23"/>
      <c r="I2517" s="24"/>
      <c r="J2517" s="24"/>
      <c r="K2517" s="24"/>
      <c r="L2517" s="24"/>
      <c r="M2517" s="25"/>
      <c r="N2517" s="25"/>
    </row>
    <row r="2518" spans="1:14" x14ac:dyDescent="0.25">
      <c r="A2518" s="121"/>
      <c r="B2518" s="23"/>
      <c r="C2518" s="24"/>
      <c r="D2518" s="24"/>
      <c r="E2518" s="24"/>
      <c r="F2518" s="480"/>
      <c r="G2518" s="485"/>
      <c r="H2518" s="23"/>
      <c r="I2518" s="24"/>
      <c r="J2518" s="24"/>
      <c r="K2518" s="24"/>
      <c r="L2518" s="24"/>
      <c r="M2518" s="25"/>
      <c r="N2518" s="25"/>
    </row>
    <row r="2519" spans="1:14" x14ac:dyDescent="0.25">
      <c r="A2519" s="121"/>
      <c r="B2519" s="23"/>
      <c r="C2519" s="24"/>
      <c r="D2519" s="24"/>
      <c r="E2519" s="24"/>
      <c r="F2519" s="480"/>
      <c r="G2519" s="485"/>
      <c r="H2519" s="23"/>
      <c r="I2519" s="24"/>
      <c r="J2519" s="24"/>
      <c r="K2519" s="24"/>
      <c r="L2519" s="24"/>
      <c r="M2519" s="25"/>
      <c r="N2519" s="25"/>
    </row>
    <row r="2520" spans="1:14" x14ac:dyDescent="0.25">
      <c r="A2520" s="121"/>
      <c r="B2520" s="23"/>
      <c r="C2520" s="24"/>
      <c r="D2520" s="24"/>
      <c r="E2520" s="24"/>
      <c r="F2520" s="480"/>
      <c r="G2520" s="485"/>
      <c r="H2520" s="23"/>
      <c r="I2520" s="24"/>
      <c r="J2520" s="24"/>
      <c r="K2520" s="24"/>
      <c r="L2520" s="24"/>
      <c r="M2520" s="25"/>
      <c r="N2520" s="25"/>
    </row>
    <row r="2521" spans="1:14" x14ac:dyDescent="0.25">
      <c r="A2521" s="121"/>
      <c r="B2521" s="23"/>
      <c r="C2521" s="24"/>
      <c r="D2521" s="24"/>
      <c r="E2521" s="24"/>
      <c r="F2521" s="480"/>
      <c r="G2521" s="485"/>
      <c r="H2521" s="26"/>
      <c r="I2521" s="27"/>
      <c r="J2521" s="27"/>
      <c r="K2521" s="27"/>
      <c r="L2521" s="27"/>
      <c r="M2521" s="28"/>
      <c r="N2521" s="25"/>
    </row>
    <row r="2522" spans="1:14" x14ac:dyDescent="0.25">
      <c r="A2522" s="121"/>
      <c r="B2522" s="26"/>
      <c r="C2522" s="27"/>
      <c r="D2522" s="27"/>
      <c r="E2522" s="27"/>
      <c r="F2522" s="481"/>
      <c r="G2522" s="486"/>
      <c r="H2522" s="27"/>
      <c r="I2522" s="27"/>
      <c r="J2522" s="27"/>
      <c r="K2522" s="27"/>
      <c r="L2522" s="27"/>
      <c r="M2522" s="27"/>
      <c r="N2522" s="28"/>
    </row>
    <row r="2523" spans="1:14" x14ac:dyDescent="0.25">
      <c r="A2523" s="121"/>
      <c r="B2523" s="23"/>
      <c r="C2523" s="24"/>
      <c r="D2523" s="24"/>
      <c r="E2523" s="24"/>
      <c r="F2523" s="480"/>
      <c r="G2523" s="480"/>
      <c r="H2523" s="24"/>
      <c r="I2523" s="24"/>
      <c r="J2523" s="24"/>
      <c r="K2523" s="24"/>
      <c r="L2523" s="24"/>
      <c r="M2523" s="24"/>
      <c r="N2523" s="25"/>
    </row>
    <row r="2524" spans="1:14" x14ac:dyDescent="0.25">
      <c r="A2524" s="121"/>
      <c r="B2524" s="111"/>
      <c r="C2524" s="112"/>
      <c r="D2524" s="112"/>
      <c r="E2524" s="112"/>
      <c r="F2524" s="482"/>
      <c r="G2524" s="482"/>
      <c r="H2524" s="113"/>
      <c r="I2524" s="113"/>
      <c r="J2524" s="112"/>
      <c r="K2524" s="112"/>
      <c r="L2524" s="112"/>
      <c r="M2524" s="112"/>
      <c r="N2524" s="114"/>
    </row>
    <row r="2525" spans="1:14" ht="18.75" x14ac:dyDescent="0.25">
      <c r="A2525" s="121"/>
      <c r="B2525" s="635" t="s">
        <v>378</v>
      </c>
      <c r="C2525" s="636"/>
      <c r="D2525" s="636"/>
      <c r="E2525" s="636"/>
      <c r="F2525" s="636"/>
      <c r="G2525" s="636"/>
      <c r="H2525" s="636"/>
      <c r="I2525" s="636"/>
      <c r="J2525" s="636"/>
      <c r="K2525" s="636"/>
      <c r="L2525" s="636"/>
      <c r="M2525" s="636"/>
      <c r="N2525" s="637"/>
    </row>
    <row r="2526" spans="1:14" x14ac:dyDescent="0.25">
      <c r="A2526" s="121"/>
      <c r="B2526" s="23"/>
      <c r="C2526" s="24"/>
      <c r="D2526" s="24"/>
      <c r="E2526" s="24"/>
      <c r="F2526" s="483"/>
      <c r="G2526" s="484"/>
      <c r="H2526" s="31"/>
      <c r="I2526" s="31"/>
      <c r="J2526" s="24"/>
      <c r="K2526" s="24"/>
      <c r="L2526" s="24"/>
      <c r="M2526" s="24"/>
      <c r="N2526" s="25"/>
    </row>
    <row r="2527" spans="1:14" ht="15" x14ac:dyDescent="0.25">
      <c r="A2527" s="121"/>
      <c r="B2527" s="23"/>
      <c r="C2527" s="638" t="s">
        <v>37</v>
      </c>
      <c r="D2527" s="639"/>
      <c r="E2527" s="640"/>
      <c r="F2527" s="483"/>
      <c r="G2527" s="484"/>
      <c r="H2527" s="641" t="s">
        <v>28</v>
      </c>
      <c r="I2527" s="642"/>
      <c r="J2527" s="39">
        <f>D2546-SUMIF(H2534:H2543,"&lt;"&amp;$M$4,K2534:K2543)</f>
        <v>0</v>
      </c>
      <c r="K2527" s="24"/>
      <c r="L2527" s="24"/>
      <c r="M2527" s="24"/>
      <c r="N2527" s="25"/>
    </row>
    <row r="2528" spans="1:14" ht="15" x14ac:dyDescent="0.25">
      <c r="A2528" s="121"/>
      <c r="B2528" s="23"/>
      <c r="C2528" s="58"/>
      <c r="D2528" s="664"/>
      <c r="E2528" s="665"/>
      <c r="F2528" s="483"/>
      <c r="G2528" s="484"/>
      <c r="H2528" s="645" t="s">
        <v>29</v>
      </c>
      <c r="I2528" s="646"/>
      <c r="J2528" s="40">
        <f>D2545</f>
        <v>45491</v>
      </c>
      <c r="K2528" s="24"/>
      <c r="L2528" s="24"/>
      <c r="M2528" s="24"/>
      <c r="N2528" s="25"/>
    </row>
    <row r="2529" spans="1:14" ht="15" x14ac:dyDescent="0.25">
      <c r="A2529" s="121"/>
      <c r="B2529" s="23"/>
      <c r="C2529" s="59" t="s">
        <v>25</v>
      </c>
      <c r="D2529" s="658"/>
      <c r="E2529" s="659"/>
      <c r="F2529" s="483"/>
      <c r="G2529" s="484"/>
      <c r="H2529" s="649" t="s">
        <v>30</v>
      </c>
      <c r="I2529" s="650"/>
      <c r="J2529" s="42" t="s">
        <v>357</v>
      </c>
      <c r="L2529" s="24"/>
      <c r="M2529" s="24"/>
      <c r="N2529" s="25"/>
    </row>
    <row r="2530" spans="1:14" x14ac:dyDescent="0.25">
      <c r="A2530" s="121"/>
      <c r="B2530" s="23"/>
      <c r="C2530" s="59" t="s">
        <v>6</v>
      </c>
      <c r="D2530" s="658" t="s">
        <v>189</v>
      </c>
      <c r="E2530" s="659"/>
      <c r="F2530" s="483"/>
      <c r="G2530" s="484"/>
      <c r="H2530" s="24"/>
      <c r="I2530" s="24"/>
      <c r="J2530" s="24"/>
      <c r="K2530" s="24"/>
      <c r="L2530" s="24"/>
      <c r="M2530" s="24"/>
      <c r="N2530" s="25"/>
    </row>
    <row r="2531" spans="1:14" x14ac:dyDescent="0.25">
      <c r="A2531" s="121"/>
      <c r="B2531" s="23"/>
      <c r="C2531" s="59" t="s">
        <v>8</v>
      </c>
      <c r="D2531" s="658" t="s">
        <v>17</v>
      </c>
      <c r="E2531" s="659"/>
      <c r="F2531" s="483"/>
      <c r="G2531" s="484"/>
      <c r="H2531" s="651" t="s">
        <v>41</v>
      </c>
      <c r="I2531" s="652"/>
      <c r="J2531" s="652"/>
      <c r="K2531" s="652"/>
      <c r="L2531" s="653"/>
      <c r="M2531" s="24"/>
      <c r="N2531" s="25"/>
    </row>
    <row r="2532" spans="1:14" ht="15" x14ac:dyDescent="0.25">
      <c r="A2532" s="121"/>
      <c r="B2532" s="23"/>
      <c r="C2532" s="59" t="s">
        <v>33</v>
      </c>
      <c r="D2532" s="73" t="s">
        <v>293</v>
      </c>
      <c r="E2532" s="273">
        <v>0.5</v>
      </c>
      <c r="F2532" s="483">
        <f>+E2532*$J$2527</f>
        <v>0</v>
      </c>
      <c r="G2532" s="484"/>
      <c r="H2532" s="81" t="s">
        <v>0</v>
      </c>
      <c r="I2532" s="82" t="s">
        <v>2</v>
      </c>
      <c r="J2532" s="82" t="s">
        <v>3</v>
      </c>
      <c r="K2532" s="82" t="s">
        <v>4</v>
      </c>
      <c r="L2532" s="83" t="s">
        <v>5</v>
      </c>
      <c r="M2532" s="82" t="s">
        <v>44</v>
      </c>
      <c r="N2532" s="25"/>
    </row>
    <row r="2533" spans="1:14" x14ac:dyDescent="0.25">
      <c r="A2533" s="121"/>
      <c r="B2533" s="23"/>
      <c r="C2533" s="278" t="s">
        <v>33</v>
      </c>
      <c r="D2533" s="73" t="s">
        <v>287</v>
      </c>
      <c r="E2533" s="273">
        <v>0.5</v>
      </c>
      <c r="F2533" s="483">
        <f>+E2533*$J$2527</f>
        <v>0</v>
      </c>
      <c r="G2533" s="484"/>
      <c r="H2533" s="45"/>
      <c r="I2533" s="46"/>
      <c r="J2533" s="46"/>
      <c r="K2533" s="46"/>
      <c r="L2533" s="47"/>
      <c r="M2533" s="101"/>
      <c r="N2533" s="25"/>
    </row>
    <row r="2534" spans="1:14" x14ac:dyDescent="0.25">
      <c r="A2534" s="121"/>
      <c r="B2534" s="23"/>
      <c r="C2534" s="59" t="s">
        <v>34</v>
      </c>
      <c r="D2534" s="658" t="s">
        <v>100</v>
      </c>
      <c r="E2534" s="659"/>
      <c r="F2534" s="483"/>
      <c r="G2534" s="484"/>
      <c r="H2534" s="48">
        <f>D2544</f>
        <v>44760</v>
      </c>
      <c r="I2534" s="46"/>
      <c r="J2534" s="49"/>
      <c r="K2534" s="49"/>
      <c r="L2534" s="50">
        <f>+D2546</f>
        <v>40000000</v>
      </c>
      <c r="M2534" s="102">
        <f>-L2534</f>
        <v>-40000000</v>
      </c>
      <c r="N2534" s="25"/>
    </row>
    <row r="2535" spans="1:14" ht="15" x14ac:dyDescent="0.25">
      <c r="A2535" s="121"/>
      <c r="B2535" s="23"/>
      <c r="C2535" s="79" t="s">
        <v>38</v>
      </c>
      <c r="D2535" s="75"/>
      <c r="E2535" s="76"/>
      <c r="F2535" s="483"/>
      <c r="G2535" s="484"/>
      <c r="H2535" s="51">
        <v>44852</v>
      </c>
      <c r="I2535" s="415" t="s">
        <v>7</v>
      </c>
      <c r="J2535" s="52">
        <f t="shared" ref="J2535:J2542" si="248">L2534*($P$4+D2549)*(H2535-H2534)/365</f>
        <v>3879375.3424657541</v>
      </c>
      <c r="K2535" s="52">
        <f>+IF(OR(I2535="A + C",I2535="A"),$D$2275*$D$2281,0)</f>
        <v>0</v>
      </c>
      <c r="L2535" s="53">
        <f>+L2534-K2535</f>
        <v>40000000</v>
      </c>
      <c r="M2535" s="103">
        <f>+J2535+K2535</f>
        <v>3879375.3424657541</v>
      </c>
      <c r="N2535" s="25"/>
    </row>
    <row r="2536" spans="1:14" x14ac:dyDescent="0.25">
      <c r="A2536" s="121"/>
      <c r="B2536" s="23"/>
      <c r="C2536" s="59"/>
      <c r="D2536" s="399"/>
      <c r="E2536" s="271"/>
      <c r="F2536" s="483"/>
      <c r="G2536" s="484"/>
      <c r="H2536" s="51">
        <v>44944</v>
      </c>
      <c r="I2536" s="415" t="s">
        <v>7</v>
      </c>
      <c r="J2536" s="52">
        <f t="shared" si="248"/>
        <v>3245205.4794520549</v>
      </c>
      <c r="K2536" s="52">
        <f>+IF(OR(I2536="A + C",I2536="A"),$D$2275*$D$2281,0)</f>
        <v>0</v>
      </c>
      <c r="L2536" s="53">
        <f>+L2535-K2536</f>
        <v>40000000</v>
      </c>
      <c r="M2536" s="103">
        <f>+J2536+K2536</f>
        <v>3245205.4794520549</v>
      </c>
      <c r="N2536" s="25"/>
    </row>
    <row r="2537" spans="1:14" x14ac:dyDescent="0.25">
      <c r="A2537" s="121"/>
      <c r="B2537" s="23"/>
      <c r="C2537" s="59"/>
      <c r="D2537" s="399"/>
      <c r="E2537" s="271"/>
      <c r="F2537" s="483"/>
      <c r="G2537" s="484"/>
      <c r="H2537" s="51">
        <v>45034</v>
      </c>
      <c r="I2537" s="415" t="s">
        <v>7</v>
      </c>
      <c r="J2537" s="52">
        <f t="shared" si="248"/>
        <v>3174657.5342465756</v>
      </c>
      <c r="K2537" s="52">
        <f>+IF(OR(I2537="A + C",I2537="A"),$D$2275*$D$2281,0)</f>
        <v>0</v>
      </c>
      <c r="L2537" s="53">
        <f>+L2536-K2537</f>
        <v>40000000</v>
      </c>
      <c r="M2537" s="103">
        <f>+J2537+K2537</f>
        <v>3174657.5342465756</v>
      </c>
      <c r="N2537" s="25"/>
    </row>
    <row r="2538" spans="1:14" x14ac:dyDescent="0.25">
      <c r="A2538" s="121"/>
      <c r="B2538" s="32"/>
      <c r="C2538" s="60"/>
      <c r="D2538" s="400" t="str">
        <f>+B2525</f>
        <v>Villanueva e Hijos III</v>
      </c>
      <c r="E2538" s="401"/>
      <c r="F2538" s="483"/>
      <c r="G2538" s="484">
        <f>+J2527</f>
        <v>0</v>
      </c>
      <c r="H2538" s="51">
        <v>45125</v>
      </c>
      <c r="I2538" s="415" t="s">
        <v>13</v>
      </c>
      <c r="J2538" s="52">
        <f t="shared" si="248"/>
        <v>8196232.8767123288</v>
      </c>
      <c r="K2538" s="52">
        <f>L2534*D2552</f>
        <v>20000000</v>
      </c>
      <c r="L2538" s="53">
        <f>+L2537-K2538</f>
        <v>20000000</v>
      </c>
      <c r="M2538" s="103">
        <f>+J2538+K2538</f>
        <v>28196232.87671233</v>
      </c>
      <c r="N2538" s="25"/>
    </row>
    <row r="2539" spans="1:14" x14ac:dyDescent="0.25">
      <c r="A2539" s="121"/>
      <c r="B2539" s="32"/>
      <c r="C2539" s="150"/>
      <c r="D2539" s="272"/>
      <c r="E2539" s="272"/>
      <c r="F2539" s="483"/>
      <c r="G2539" s="484"/>
      <c r="H2539" s="51">
        <v>45217</v>
      </c>
      <c r="I2539" s="415" t="s">
        <v>7</v>
      </c>
      <c r="J2539" s="52">
        <f t="shared" si="248"/>
        <v>2882876.7123287669</v>
      </c>
      <c r="K2539" s="52">
        <f>+IF(OR(I2539="A + C",I2539="A"),$D$2275*$D$2281,0)</f>
        <v>0</v>
      </c>
      <c r="L2539" s="53">
        <f t="shared" ref="L2539:L2542" si="249">+L2538-K2539</f>
        <v>20000000</v>
      </c>
      <c r="M2539" s="103">
        <f t="shared" ref="M2539:M2542" si="250">+J2539+K2539</f>
        <v>2882876.7123287669</v>
      </c>
      <c r="N2539" s="25"/>
    </row>
    <row r="2540" spans="1:14" ht="15" x14ac:dyDescent="0.25">
      <c r="A2540" s="121"/>
      <c r="B2540" s="32"/>
      <c r="C2540" s="638" t="s">
        <v>36</v>
      </c>
      <c r="D2540" s="640"/>
      <c r="E2540" s="272"/>
      <c r="F2540" s="483"/>
      <c r="G2540" s="484"/>
      <c r="H2540" s="51">
        <v>45309</v>
      </c>
      <c r="I2540" s="415" t="s">
        <v>13</v>
      </c>
      <c r="J2540" s="52">
        <f t="shared" si="248"/>
        <v>1622602.7397260275</v>
      </c>
      <c r="K2540" s="52">
        <f>L2534*D2553</f>
        <v>10000000</v>
      </c>
      <c r="L2540" s="53">
        <f t="shared" si="249"/>
        <v>10000000</v>
      </c>
      <c r="M2540" s="103">
        <f t="shared" si="250"/>
        <v>11622602.739726027</v>
      </c>
      <c r="N2540" s="25"/>
    </row>
    <row r="2541" spans="1:14" x14ac:dyDescent="0.25">
      <c r="A2541" s="121"/>
      <c r="B2541" s="32"/>
      <c r="C2541" s="59"/>
      <c r="D2541" s="62"/>
      <c r="E2541" s="272"/>
      <c r="F2541" s="483"/>
      <c r="G2541" s="484"/>
      <c r="H2541" s="51">
        <v>45400</v>
      </c>
      <c r="I2541" s="415" t="s">
        <v>7</v>
      </c>
      <c r="J2541" s="52">
        <f t="shared" si="248"/>
        <v>802482.87671232875</v>
      </c>
      <c r="K2541" s="52">
        <f>+IF(OR(I2541="A + C",I2541="A"),$D$2275*$D$2281,0)</f>
        <v>0</v>
      </c>
      <c r="L2541" s="53">
        <f t="shared" si="249"/>
        <v>10000000</v>
      </c>
      <c r="M2541" s="103">
        <f t="shared" si="250"/>
        <v>802482.87671232875</v>
      </c>
      <c r="N2541" s="25"/>
    </row>
    <row r="2542" spans="1:14" x14ac:dyDescent="0.25">
      <c r="A2542" s="121"/>
      <c r="B2542" s="32"/>
      <c r="C2542" s="59" t="s">
        <v>9</v>
      </c>
      <c r="D2542" s="98" t="s">
        <v>18</v>
      </c>
      <c r="E2542" s="272"/>
      <c r="F2542" s="483"/>
      <c r="G2542" s="484"/>
      <c r="H2542" s="51">
        <v>45491</v>
      </c>
      <c r="I2542" s="415" t="s">
        <v>13</v>
      </c>
      <c r="J2542" s="52">
        <f t="shared" si="248"/>
        <v>802482.87671232875</v>
      </c>
      <c r="K2542" s="52">
        <f>L2534*D2553</f>
        <v>10000000</v>
      </c>
      <c r="L2542" s="53">
        <f t="shared" si="249"/>
        <v>0</v>
      </c>
      <c r="M2542" s="103">
        <f t="shared" si="250"/>
        <v>10802482.87671233</v>
      </c>
      <c r="N2542" s="25"/>
    </row>
    <row r="2543" spans="1:14" x14ac:dyDescent="0.25">
      <c r="A2543" s="121"/>
      <c r="B2543" s="23"/>
      <c r="C2543" s="59" t="s">
        <v>10</v>
      </c>
      <c r="D2543" s="65">
        <v>44755</v>
      </c>
      <c r="E2543" s="272"/>
      <c r="F2543" s="483"/>
      <c r="G2543" s="484"/>
      <c r="H2543" s="51"/>
      <c r="I2543" s="61"/>
      <c r="J2543" s="105"/>
      <c r="K2543" s="105"/>
      <c r="L2543" s="106"/>
      <c r="M2543" s="402"/>
      <c r="N2543" s="25"/>
    </row>
    <row r="2544" spans="1:14" x14ac:dyDescent="0.25">
      <c r="A2544" s="121"/>
      <c r="B2544" s="23"/>
      <c r="C2544" s="59" t="s">
        <v>11</v>
      </c>
      <c r="D2544" s="65">
        <v>44760</v>
      </c>
      <c r="E2544" s="36"/>
      <c r="F2544" s="483"/>
      <c r="G2544" s="484"/>
      <c r="H2544" s="109"/>
      <c r="I2544" s="109"/>
      <c r="J2544" s="109"/>
      <c r="K2544" s="109"/>
      <c r="L2544" s="109"/>
      <c r="M2544" s="109"/>
      <c r="N2544" s="25"/>
    </row>
    <row r="2545" spans="1:14" ht="15" x14ac:dyDescent="0.25">
      <c r="A2545" s="121"/>
      <c r="B2545" s="23"/>
      <c r="C2545" s="59" t="s">
        <v>12</v>
      </c>
      <c r="D2545" s="65">
        <v>45491</v>
      </c>
      <c r="E2545" s="36"/>
      <c r="F2545" s="483"/>
      <c r="G2545" s="484"/>
      <c r="H2545" s="656" t="s">
        <v>43</v>
      </c>
      <c r="I2545" s="656"/>
      <c r="J2545" s="92">
        <f>+J2527+(L2542*($P$4+D2549)*($M$4-H2542)/365)</f>
        <v>0</v>
      </c>
      <c r="K2545" s="92"/>
      <c r="L2545" s="24"/>
      <c r="M2545" s="24"/>
      <c r="N2545" s="25"/>
    </row>
    <row r="2546" spans="1:14" ht="15" x14ac:dyDescent="0.25">
      <c r="A2546" s="121"/>
      <c r="B2546" s="23"/>
      <c r="C2546" s="59" t="s">
        <v>27</v>
      </c>
      <c r="D2546" s="66">
        <v>40000000</v>
      </c>
      <c r="E2546" s="36"/>
      <c r="F2546" s="483"/>
      <c r="G2546" s="484"/>
      <c r="H2546" s="657"/>
      <c r="I2546" s="657"/>
      <c r="J2546" s="33"/>
      <c r="K2546" s="24"/>
      <c r="L2546" s="33"/>
      <c r="M2546" s="33"/>
      <c r="N2546" s="25"/>
    </row>
    <row r="2547" spans="1:14" x14ac:dyDescent="0.25">
      <c r="A2547" s="121"/>
      <c r="B2547" s="23"/>
      <c r="C2547" s="59" t="s">
        <v>26</v>
      </c>
      <c r="D2547" s="66">
        <v>3</v>
      </c>
      <c r="E2547" s="36"/>
      <c r="F2547" s="483"/>
      <c r="G2547" s="484"/>
      <c r="H2547" s="24"/>
      <c r="I2547" s="24"/>
      <c r="J2547" s="24"/>
      <c r="K2547" s="24"/>
      <c r="L2547" s="24"/>
      <c r="M2547" s="24"/>
      <c r="N2547" s="25"/>
    </row>
    <row r="2548" spans="1:14" ht="15" x14ac:dyDescent="0.25">
      <c r="A2548" s="121"/>
      <c r="B2548" s="23"/>
      <c r="C2548" s="59" t="s">
        <v>19</v>
      </c>
      <c r="D2548" s="67" t="s">
        <v>20</v>
      </c>
      <c r="E2548" s="36"/>
      <c r="F2548" s="483"/>
      <c r="G2548" s="484"/>
      <c r="H2548" s="638" t="s">
        <v>44</v>
      </c>
      <c r="I2548" s="639"/>
      <c r="J2548" s="639"/>
      <c r="K2548" s="639"/>
      <c r="L2548" s="639"/>
      <c r="M2548" s="640"/>
      <c r="N2548" s="25"/>
    </row>
    <row r="2549" spans="1:14" x14ac:dyDescent="0.25">
      <c r="A2549" s="121"/>
      <c r="B2549" s="23"/>
      <c r="C2549" s="59" t="s">
        <v>14</v>
      </c>
      <c r="D2549" s="68">
        <v>6.2899999999999998E-2</v>
      </c>
      <c r="E2549" s="36"/>
      <c r="F2549" s="480"/>
      <c r="G2549" s="484"/>
      <c r="H2549" s="23"/>
      <c r="I2549" s="24"/>
      <c r="J2549" s="24"/>
      <c r="K2549" s="24"/>
      <c r="L2549" s="24"/>
      <c r="M2549" s="25"/>
      <c r="N2549" s="25"/>
    </row>
    <row r="2550" spans="1:14" x14ac:dyDescent="0.25">
      <c r="A2550" s="121"/>
      <c r="B2550" s="23"/>
      <c r="C2550" s="59" t="s">
        <v>31</v>
      </c>
      <c r="D2550" s="68"/>
      <c r="E2550" s="41"/>
      <c r="F2550" s="480"/>
      <c r="G2550" s="484"/>
      <c r="H2550" s="23"/>
      <c r="I2550" s="24"/>
      <c r="J2550" s="24"/>
      <c r="K2550" s="24"/>
      <c r="L2550" s="24"/>
      <c r="M2550" s="25"/>
      <c r="N2550" s="25"/>
    </row>
    <row r="2551" spans="1:14" x14ac:dyDescent="0.25">
      <c r="A2551" s="121"/>
      <c r="B2551" s="23"/>
      <c r="C2551" s="59" t="s">
        <v>32</v>
      </c>
      <c r="D2551" s="68"/>
      <c r="E2551" s="36"/>
      <c r="F2551" s="480"/>
      <c r="G2551" s="484"/>
      <c r="H2551" s="96"/>
      <c r="I2551" s="35"/>
      <c r="J2551" s="24"/>
      <c r="K2551" s="24"/>
      <c r="L2551" s="24"/>
      <c r="M2551" s="25"/>
      <c r="N2551" s="25"/>
    </row>
    <row r="2552" spans="1:14" x14ac:dyDescent="0.25">
      <c r="A2552" s="121"/>
      <c r="B2552" s="23"/>
      <c r="C2552" s="59" t="s">
        <v>55</v>
      </c>
      <c r="D2552" s="68">
        <v>0.5</v>
      </c>
      <c r="E2552" s="43"/>
      <c r="F2552" s="480"/>
      <c r="G2552" s="484"/>
      <c r="H2552" s="23"/>
      <c r="I2552" s="24"/>
      <c r="J2552" s="24"/>
      <c r="K2552" s="24"/>
      <c r="L2552" s="24"/>
      <c r="M2552" s="25"/>
      <c r="N2552" s="25"/>
    </row>
    <row r="2553" spans="1:14" x14ac:dyDescent="0.25">
      <c r="A2553" s="121"/>
      <c r="B2553" s="23"/>
      <c r="C2553" s="60" t="s">
        <v>58</v>
      </c>
      <c r="D2553" s="110">
        <v>0.25</v>
      </c>
      <c r="E2553" s="43"/>
      <c r="F2553" s="480"/>
      <c r="G2553" s="484"/>
      <c r="H2553" s="23"/>
      <c r="I2553" s="24"/>
      <c r="J2553" s="24"/>
      <c r="K2553" s="24"/>
      <c r="L2553" s="24"/>
      <c r="M2553" s="25"/>
      <c r="N2553" s="25"/>
    </row>
    <row r="2554" spans="1:14" x14ac:dyDescent="0.25">
      <c r="A2554" s="121"/>
      <c r="B2554" s="23"/>
      <c r="E2554" s="43"/>
      <c r="F2554" s="480"/>
      <c r="G2554" s="484"/>
      <c r="H2554" s="23"/>
      <c r="I2554" s="24"/>
      <c r="J2554" s="24"/>
      <c r="K2554" s="24"/>
      <c r="L2554" s="24"/>
      <c r="M2554" s="25"/>
      <c r="N2554" s="25"/>
    </row>
    <row r="2555" spans="1:14" x14ac:dyDescent="0.25">
      <c r="A2555" s="121"/>
      <c r="B2555" s="23"/>
      <c r="E2555" s="44"/>
      <c r="F2555" s="480"/>
      <c r="G2555" s="484"/>
      <c r="H2555" s="23"/>
      <c r="I2555" s="24"/>
      <c r="J2555" s="24"/>
      <c r="K2555" s="24"/>
      <c r="L2555" s="24"/>
      <c r="M2555" s="25"/>
      <c r="N2555" s="25"/>
    </row>
    <row r="2556" spans="1:14" x14ac:dyDescent="0.25">
      <c r="A2556" s="121"/>
      <c r="B2556" s="23"/>
      <c r="E2556" s="24"/>
      <c r="F2556" s="480"/>
      <c r="G2556" s="484"/>
      <c r="H2556" s="23"/>
      <c r="I2556" s="24"/>
      <c r="J2556" s="24"/>
      <c r="K2556" s="24"/>
      <c r="L2556" s="24"/>
      <c r="M2556" s="25"/>
      <c r="N2556" s="25"/>
    </row>
    <row r="2557" spans="1:14" x14ac:dyDescent="0.25">
      <c r="A2557" s="121"/>
      <c r="B2557" s="23"/>
      <c r="E2557" s="24"/>
      <c r="F2557" s="480"/>
      <c r="G2557" s="484"/>
      <c r="H2557" s="23"/>
      <c r="I2557" s="24"/>
      <c r="J2557" s="24"/>
      <c r="K2557" s="24"/>
      <c r="L2557" s="24"/>
      <c r="M2557" s="25"/>
      <c r="N2557" s="25"/>
    </row>
    <row r="2558" spans="1:14" x14ac:dyDescent="0.25">
      <c r="A2558" s="121"/>
      <c r="B2558" s="23"/>
      <c r="C2558" s="24"/>
      <c r="D2558" s="24"/>
      <c r="E2558" s="24"/>
      <c r="F2558" s="480"/>
      <c r="G2558" s="485"/>
      <c r="H2558" s="23"/>
      <c r="I2558" s="24"/>
      <c r="J2558" s="24"/>
      <c r="K2558" s="24"/>
      <c r="L2558" s="24"/>
      <c r="M2558" s="25"/>
      <c r="N2558" s="25"/>
    </row>
    <row r="2559" spans="1:14" x14ac:dyDescent="0.25">
      <c r="A2559" s="121"/>
      <c r="B2559" s="23"/>
      <c r="C2559" s="24"/>
      <c r="D2559" s="24"/>
      <c r="E2559" s="24"/>
      <c r="F2559" s="480"/>
      <c r="G2559" s="485"/>
      <c r="H2559" s="23"/>
      <c r="I2559" s="24"/>
      <c r="J2559" s="24"/>
      <c r="K2559" s="24"/>
      <c r="L2559" s="24"/>
      <c r="M2559" s="25"/>
      <c r="N2559" s="25"/>
    </row>
    <row r="2560" spans="1:14" x14ac:dyDescent="0.25">
      <c r="A2560" s="121"/>
      <c r="B2560" s="23"/>
      <c r="C2560" s="24"/>
      <c r="D2560" s="24"/>
      <c r="E2560" s="24"/>
      <c r="F2560" s="480"/>
      <c r="G2560" s="485"/>
      <c r="H2560" s="23"/>
      <c r="I2560" s="24"/>
      <c r="J2560" s="24"/>
      <c r="K2560" s="24"/>
      <c r="L2560" s="24"/>
      <c r="M2560" s="25"/>
      <c r="N2560" s="25"/>
    </row>
    <row r="2561" spans="1:14" x14ac:dyDescent="0.25">
      <c r="A2561" s="121"/>
      <c r="B2561" s="23"/>
      <c r="C2561" s="24"/>
      <c r="D2561" s="24"/>
      <c r="E2561" s="24"/>
      <c r="F2561" s="480"/>
      <c r="G2561" s="485"/>
      <c r="H2561" s="26"/>
      <c r="I2561" s="27"/>
      <c r="J2561" s="27"/>
      <c r="K2561" s="27"/>
      <c r="L2561" s="27"/>
      <c r="M2561" s="28"/>
      <c r="N2561" s="25"/>
    </row>
    <row r="2562" spans="1:14" x14ac:dyDescent="0.25">
      <c r="A2562" s="121"/>
      <c r="B2562" s="26"/>
      <c r="C2562" s="27"/>
      <c r="D2562" s="27"/>
      <c r="E2562" s="27"/>
      <c r="F2562" s="481"/>
      <c r="G2562" s="486"/>
      <c r="H2562" s="27"/>
      <c r="I2562" s="27"/>
      <c r="J2562" s="27"/>
      <c r="K2562" s="27"/>
      <c r="L2562" s="27"/>
      <c r="M2562" s="27"/>
      <c r="N2562" s="28"/>
    </row>
    <row r="2563" spans="1:14" x14ac:dyDescent="0.25">
      <c r="A2563" s="121"/>
    </row>
    <row r="2564" spans="1:14" x14ac:dyDescent="0.25">
      <c r="A2564" s="121"/>
    </row>
    <row r="2565" spans="1:14" x14ac:dyDescent="0.25">
      <c r="A2565" s="121"/>
    </row>
    <row r="2566" spans="1:14" x14ac:dyDescent="0.25">
      <c r="A2566" s="121"/>
    </row>
  </sheetData>
  <mergeCells count="1040">
    <mergeCell ref="H2545:I2545"/>
    <mergeCell ref="H2546:I2546"/>
    <mergeCell ref="H2548:M2548"/>
    <mergeCell ref="C1816:E1816"/>
    <mergeCell ref="H1816:I1816"/>
    <mergeCell ref="D1817:E1817"/>
    <mergeCell ref="H1820:L1820"/>
    <mergeCell ref="H1835:I1835"/>
    <mergeCell ref="H1837:M1837"/>
    <mergeCell ref="B2220:N2220"/>
    <mergeCell ref="D2528:E2528"/>
    <mergeCell ref="H2528:I2528"/>
    <mergeCell ref="D2529:E2529"/>
    <mergeCell ref="H2529:I2529"/>
    <mergeCell ref="D2530:E2530"/>
    <mergeCell ref="D2531:E2531"/>
    <mergeCell ref="H2531:L2531"/>
    <mergeCell ref="D2534:E2534"/>
    <mergeCell ref="C2540:D2540"/>
    <mergeCell ref="D2263:E2263"/>
    <mergeCell ref="H2274:I2274"/>
    <mergeCell ref="H2275:I2275"/>
    <mergeCell ref="D2122:E2122"/>
    <mergeCell ref="H2137:M2137"/>
    <mergeCell ref="C2085:E2085"/>
    <mergeCell ref="H2085:I2085"/>
    <mergeCell ref="D2086:E2086"/>
    <mergeCell ref="H2086:I2086"/>
    <mergeCell ref="C1891:E1891"/>
    <mergeCell ref="H1891:I1891"/>
    <mergeCell ref="D2409:E2409"/>
    <mergeCell ref="B2525:N2525"/>
    <mergeCell ref="D697:E697"/>
    <mergeCell ref="H697:I697"/>
    <mergeCell ref="D698:E698"/>
    <mergeCell ref="C2527:E2527"/>
    <mergeCell ref="H2527:I2527"/>
    <mergeCell ref="B1416:N1416"/>
    <mergeCell ref="B1381:N1381"/>
    <mergeCell ref="B1273:N1273"/>
    <mergeCell ref="C1217:D1217"/>
    <mergeCell ref="H1220:I1220"/>
    <mergeCell ref="H1221:I1221"/>
    <mergeCell ref="H1223:M1223"/>
    <mergeCell ref="H2277:M2277"/>
    <mergeCell ref="C2269:D2269"/>
    <mergeCell ref="C1275:E1275"/>
    <mergeCell ref="H1275:I1275"/>
    <mergeCell ref="D1276:E1276"/>
    <mergeCell ref="H1276:I1276"/>
    <mergeCell ref="D1277:E1277"/>
    <mergeCell ref="H1277:I1277"/>
    <mergeCell ref="H1490:I1490"/>
    <mergeCell ref="C1578:D1578"/>
    <mergeCell ref="H1582:I1582"/>
    <mergeCell ref="H1583:I1583"/>
    <mergeCell ref="D1577:E1577"/>
    <mergeCell ref="D1781:E1781"/>
    <mergeCell ref="C1777:E1777"/>
    <mergeCell ref="H1651:M1651"/>
    <mergeCell ref="D1170:E1170"/>
    <mergeCell ref="H1170:I1170"/>
    <mergeCell ref="D1171:E1171"/>
    <mergeCell ref="H1171:I1171"/>
    <mergeCell ref="H657:I657"/>
    <mergeCell ref="D658:E658"/>
    <mergeCell ref="D890:E890"/>
    <mergeCell ref="D699:E699"/>
    <mergeCell ref="H699:L699"/>
    <mergeCell ref="D15:E15"/>
    <mergeCell ref="D19:E19"/>
    <mergeCell ref="D20:E20"/>
    <mergeCell ref="C21:D21"/>
    <mergeCell ref="H25:I25"/>
    <mergeCell ref="H26:I26"/>
    <mergeCell ref="H28:M28"/>
    <mergeCell ref="B7:N7"/>
    <mergeCell ref="C9:E9"/>
    <mergeCell ref="D10:E10"/>
    <mergeCell ref="D11:E11"/>
    <mergeCell ref="D12:E12"/>
    <mergeCell ref="D13:E13"/>
    <mergeCell ref="H13:L13"/>
    <mergeCell ref="H222:I222"/>
    <mergeCell ref="D223:E223"/>
    <mergeCell ref="H223:I223"/>
    <mergeCell ref="D224:E224"/>
    <mergeCell ref="D225:E225"/>
    <mergeCell ref="H225:L225"/>
    <mergeCell ref="D116:E116"/>
    <mergeCell ref="D117:E117"/>
    <mergeCell ref="D118:E118"/>
    <mergeCell ref="H118:L118"/>
    <mergeCell ref="H695:I695"/>
    <mergeCell ref="D696:E696"/>
    <mergeCell ref="H696:I696"/>
    <mergeCell ref="D1172:E1172"/>
    <mergeCell ref="D1216:E1216"/>
    <mergeCell ref="D1498:E1498"/>
    <mergeCell ref="H902:I902"/>
    <mergeCell ref="H903:I903"/>
    <mergeCell ref="D227:E227"/>
    <mergeCell ref="D232:E232"/>
    <mergeCell ref="C233:D233"/>
    <mergeCell ref="D529:E529"/>
    <mergeCell ref="H529:L529"/>
    <mergeCell ref="H507:M507"/>
    <mergeCell ref="D496:E496"/>
    <mergeCell ref="D501:E501"/>
    <mergeCell ref="B693:N693"/>
    <mergeCell ref="C695:E695"/>
    <mergeCell ref="H661:L661"/>
    <mergeCell ref="H675:I675"/>
    <mergeCell ref="H676:I676"/>
    <mergeCell ref="H678:M678"/>
    <mergeCell ref="H490:I490"/>
    <mergeCell ref="D491:E491"/>
    <mergeCell ref="H491:I491"/>
    <mergeCell ref="H636:I636"/>
    <mergeCell ref="H637:I637"/>
    <mergeCell ref="C614:E614"/>
    <mergeCell ref="H614:I614"/>
    <mergeCell ref="D615:E615"/>
    <mergeCell ref="H615:I615"/>
    <mergeCell ref="H1173:L1173"/>
    <mergeCell ref="D1491:E1491"/>
    <mergeCell ref="D1492:E1492"/>
    <mergeCell ref="D1278:E1278"/>
    <mergeCell ref="D2259:E2259"/>
    <mergeCell ref="D2260:E2260"/>
    <mergeCell ref="H2260:L2260"/>
    <mergeCell ref="H1892:I1892"/>
    <mergeCell ref="D1892:E1892"/>
    <mergeCell ref="H1911:M1911"/>
    <mergeCell ref="D1897:E1897"/>
    <mergeCell ref="B2152:N2152"/>
    <mergeCell ref="D2131:E2131"/>
    <mergeCell ref="C2132:D2132"/>
    <mergeCell ref="H2134:I2134"/>
    <mergeCell ref="H2135:I2135"/>
    <mergeCell ref="C2120:E2120"/>
    <mergeCell ref="H2120:I2120"/>
    <mergeCell ref="D2121:E2121"/>
    <mergeCell ref="D1568:E1568"/>
    <mergeCell ref="C1488:E1488"/>
    <mergeCell ref="H1488:I1488"/>
    <mergeCell ref="H1686:I1686"/>
    <mergeCell ref="H1687:I1687"/>
    <mergeCell ref="H1709:L1709"/>
    <mergeCell ref="D1780:E1780"/>
    <mergeCell ref="D1823:E1823"/>
    <mergeCell ref="B1853:N1853"/>
    <mergeCell ref="C1829:D1829"/>
    <mergeCell ref="H1817:I1817"/>
    <mergeCell ref="D1818:E1818"/>
    <mergeCell ref="H1818:I1818"/>
    <mergeCell ref="D1819:E1819"/>
    <mergeCell ref="H1779:I1779"/>
    <mergeCell ref="D1672:E1672"/>
    <mergeCell ref="H1672:L1672"/>
    <mergeCell ref="B523:N523"/>
    <mergeCell ref="H543:M543"/>
    <mergeCell ref="D531:E531"/>
    <mergeCell ref="D536:E536"/>
    <mergeCell ref="C537:D537"/>
    <mergeCell ref="H540:I540"/>
    <mergeCell ref="H541:I541"/>
    <mergeCell ref="C525:E525"/>
    <mergeCell ref="H525:I525"/>
    <mergeCell ref="D526:E526"/>
    <mergeCell ref="H526:I526"/>
    <mergeCell ref="D527:E527"/>
    <mergeCell ref="D494:E494"/>
    <mergeCell ref="H494:L494"/>
    <mergeCell ref="C455:E455"/>
    <mergeCell ref="B219:N219"/>
    <mergeCell ref="C221:E221"/>
    <mergeCell ref="H221:I221"/>
    <mergeCell ref="D222:E222"/>
    <mergeCell ref="B488:N488"/>
    <mergeCell ref="C490:E490"/>
    <mergeCell ref="H236:I236"/>
    <mergeCell ref="H238:M238"/>
    <mergeCell ref="H455:I455"/>
    <mergeCell ref="H527:I527"/>
    <mergeCell ref="D528:E528"/>
    <mergeCell ref="D428:E428"/>
    <mergeCell ref="D429:E429"/>
    <mergeCell ref="C430:D430"/>
    <mergeCell ref="H434:I434"/>
    <mergeCell ref="H435:I435"/>
    <mergeCell ref="H418:I418"/>
    <mergeCell ref="D1279:E1279"/>
    <mergeCell ref="H1279:L1279"/>
    <mergeCell ref="D1281:E1281"/>
    <mergeCell ref="D1286:E1286"/>
    <mergeCell ref="C1287:D1287"/>
    <mergeCell ref="H1288:I1288"/>
    <mergeCell ref="H1290:M1290"/>
    <mergeCell ref="H1186:M1186"/>
    <mergeCell ref="D1175:E1175"/>
    <mergeCell ref="D1180:E1180"/>
    <mergeCell ref="H1492:L1492"/>
    <mergeCell ref="H1364:I1364"/>
    <mergeCell ref="C1349:E1349"/>
    <mergeCell ref="H1350:I1350"/>
    <mergeCell ref="H1351:I1351"/>
    <mergeCell ref="H1353:L1353"/>
    <mergeCell ref="C1181:D1181"/>
    <mergeCell ref="H1183:I1183"/>
    <mergeCell ref="H1184:I1184"/>
    <mergeCell ref="B1239:N1239"/>
    <mergeCell ref="H1258:M1258"/>
    <mergeCell ref="D1252:E1252"/>
    <mergeCell ref="C1253:D1253"/>
    <mergeCell ref="H1255:I1255"/>
    <mergeCell ref="H1256:I1256"/>
    <mergeCell ref="C1241:E1241"/>
    <mergeCell ref="H1241:I1241"/>
    <mergeCell ref="D1242:E1242"/>
    <mergeCell ref="H1242:I1242"/>
    <mergeCell ref="D1243:E1243"/>
    <mergeCell ref="H1243:I1243"/>
    <mergeCell ref="B1203:N1203"/>
    <mergeCell ref="H1799:M1799"/>
    <mergeCell ref="D1783:E1783"/>
    <mergeCell ref="C1668:E1668"/>
    <mergeCell ref="H1668:I1668"/>
    <mergeCell ref="D1669:E1669"/>
    <mergeCell ref="H1669:I1669"/>
    <mergeCell ref="D1820:E1820"/>
    <mergeCell ref="D1788:E1788"/>
    <mergeCell ref="B1814:N1814"/>
    <mergeCell ref="B1703:N1703"/>
    <mergeCell ref="H1722:M1722"/>
    <mergeCell ref="D1715:E1715"/>
    <mergeCell ref="H1760:M1760"/>
    <mergeCell ref="H1739:I1739"/>
    <mergeCell ref="D1740:E1740"/>
    <mergeCell ref="H1740:I1740"/>
    <mergeCell ref="D1741:E1741"/>
    <mergeCell ref="D1742:E1742"/>
    <mergeCell ref="H1757:I1757"/>
    <mergeCell ref="B1737:N1737"/>
    <mergeCell ref="C1739:E1739"/>
    <mergeCell ref="H1741:I1741"/>
    <mergeCell ref="D1743:E1743"/>
    <mergeCell ref="D1746:E1746"/>
    <mergeCell ref="C1752:D1752"/>
    <mergeCell ref="C1721:D1721"/>
    <mergeCell ref="D2088:E2088"/>
    <mergeCell ref="D2089:E2089"/>
    <mergeCell ref="H2089:L2089"/>
    <mergeCell ref="D2090:E2090"/>
    <mergeCell ref="D2257:E2257"/>
    <mergeCell ref="H2257:I2257"/>
    <mergeCell ref="D2258:E2258"/>
    <mergeCell ref="H2258:I2258"/>
    <mergeCell ref="H2121:I2121"/>
    <mergeCell ref="B2254:N2254"/>
    <mergeCell ref="C2256:E2256"/>
    <mergeCell ref="H2256:I2256"/>
    <mergeCell ref="H2203:I2203"/>
    <mergeCell ref="C2188:E2188"/>
    <mergeCell ref="H2188:I2188"/>
    <mergeCell ref="D2189:E2189"/>
    <mergeCell ref="H2189:I2189"/>
    <mergeCell ref="D2190:E2190"/>
    <mergeCell ref="H2190:I2190"/>
    <mergeCell ref="H2154:I2154"/>
    <mergeCell ref="D2155:E2155"/>
    <mergeCell ref="H2155:I2155"/>
    <mergeCell ref="D2156:E2156"/>
    <mergeCell ref="H2156:I2156"/>
    <mergeCell ref="D2157:E2157"/>
    <mergeCell ref="D2158:E2158"/>
    <mergeCell ref="H2158:L2158"/>
    <mergeCell ref="D2126:E2126"/>
    <mergeCell ref="C2167:D2167"/>
    <mergeCell ref="H2236:I2236"/>
    <mergeCell ref="H2237:I2237"/>
    <mergeCell ref="C2235:D2235"/>
    <mergeCell ref="H2349:M2349"/>
    <mergeCell ref="C2408:E2408"/>
    <mergeCell ref="B2364:N2364"/>
    <mergeCell ref="H2391:M2391"/>
    <mergeCell ref="D2372:E2372"/>
    <mergeCell ref="D2377:E2377"/>
    <mergeCell ref="C2378:D2378"/>
    <mergeCell ref="H2388:I2388"/>
    <mergeCell ref="H2389:I2389"/>
    <mergeCell ref="C2366:E2366"/>
    <mergeCell ref="H2366:I2366"/>
    <mergeCell ref="D2367:E2367"/>
    <mergeCell ref="H2445:I2445"/>
    <mergeCell ref="D2446:E2446"/>
    <mergeCell ref="H2446:I2446"/>
    <mergeCell ref="D2448:E2448"/>
    <mergeCell ref="H2448:L2448"/>
    <mergeCell ref="C2420:D2420"/>
    <mergeCell ref="H2424:I2424"/>
    <mergeCell ref="H2425:I2425"/>
    <mergeCell ref="B2442:N2442"/>
    <mergeCell ref="C2444:E2444"/>
    <mergeCell ref="H2409:I2409"/>
    <mergeCell ref="D2410:E2410"/>
    <mergeCell ref="H2410:I2410"/>
    <mergeCell ref="D2445:E2445"/>
    <mergeCell ref="H2444:I2444"/>
    <mergeCell ref="H2412:L2412"/>
    <mergeCell ref="H2368:I2368"/>
    <mergeCell ref="D2369:E2369"/>
    <mergeCell ref="D2370:E2370"/>
    <mergeCell ref="H2370:L2370"/>
    <mergeCell ref="D2297:E2297"/>
    <mergeCell ref="D2298:E2298"/>
    <mergeCell ref="H2298:L2298"/>
    <mergeCell ref="B2328:N2328"/>
    <mergeCell ref="C2330:E2330"/>
    <mergeCell ref="H2330:I2330"/>
    <mergeCell ref="D2331:E2331"/>
    <mergeCell ref="H2331:I2331"/>
    <mergeCell ref="D2332:E2332"/>
    <mergeCell ref="H2332:I2332"/>
    <mergeCell ref="D2333:E2333"/>
    <mergeCell ref="D2334:E2334"/>
    <mergeCell ref="H2334:L2334"/>
    <mergeCell ref="D2338:E2338"/>
    <mergeCell ref="C2344:D2344"/>
    <mergeCell ref="H2346:I2346"/>
    <mergeCell ref="H2347:I2347"/>
    <mergeCell ref="C2308:D2308"/>
    <mergeCell ref="J2:M2"/>
    <mergeCell ref="C1126:E1126"/>
    <mergeCell ref="H1126:I1126"/>
    <mergeCell ref="D1127:E1127"/>
    <mergeCell ref="H1127:I1127"/>
    <mergeCell ref="D1128:E1128"/>
    <mergeCell ref="H1128:I1128"/>
    <mergeCell ref="D1129:E1129"/>
    <mergeCell ref="D1130:E1130"/>
    <mergeCell ref="H1130:L1130"/>
    <mergeCell ref="B1124:N1124"/>
    <mergeCell ref="H1108:M1108"/>
    <mergeCell ref="C884:E884"/>
    <mergeCell ref="H884:I884"/>
    <mergeCell ref="D885:E885"/>
    <mergeCell ref="H885:I885"/>
    <mergeCell ref="D886:E886"/>
    <mergeCell ref="H905:M905"/>
    <mergeCell ref="H886:I886"/>
    <mergeCell ref="D888:E888"/>
    <mergeCell ref="H888:L888"/>
    <mergeCell ref="D1007:E1007"/>
    <mergeCell ref="C502:D502"/>
    <mergeCell ref="H504:I504"/>
    <mergeCell ref="H505:I505"/>
    <mergeCell ref="D492:E492"/>
    <mergeCell ref="H492:I492"/>
    <mergeCell ref="D493:E493"/>
    <mergeCell ref="D1010:E1010"/>
    <mergeCell ref="C1016:D1016"/>
    <mergeCell ref="C114:E114"/>
    <mergeCell ref="H116:I116"/>
    <mergeCell ref="D1606:E1606"/>
    <mergeCell ref="H1606:L1606"/>
    <mergeCell ref="B1666:N1666"/>
    <mergeCell ref="H1689:M1689"/>
    <mergeCell ref="D1675:E1675"/>
    <mergeCell ref="D1611:E1611"/>
    <mergeCell ref="H1649:I1649"/>
    <mergeCell ref="C1602:E1602"/>
    <mergeCell ref="H1602:I1602"/>
    <mergeCell ref="D1670:E1670"/>
    <mergeCell ref="H1670:I1670"/>
    <mergeCell ref="D1671:E1671"/>
    <mergeCell ref="D1208:E1208"/>
    <mergeCell ref="D1209:E1209"/>
    <mergeCell ref="H1209:L1209"/>
    <mergeCell ref="D1211:E1211"/>
    <mergeCell ref="D1244:E1244"/>
    <mergeCell ref="D1245:E1245"/>
    <mergeCell ref="H1245:L1245"/>
    <mergeCell ref="D1247:E1247"/>
    <mergeCell ref="B1305:N1305"/>
    <mergeCell ref="D1353:E1353"/>
    <mergeCell ref="D1352:E1352"/>
    <mergeCell ref="H1349:I1349"/>
    <mergeCell ref="D1350:E1350"/>
    <mergeCell ref="D1351:E1351"/>
    <mergeCell ref="H1507:M1507"/>
    <mergeCell ref="H1648:I1648"/>
    <mergeCell ref="D1603:E1603"/>
    <mergeCell ref="C1566:E1566"/>
    <mergeCell ref="H1566:I1566"/>
    <mergeCell ref="D1567:E1567"/>
    <mergeCell ref="H1567:I1567"/>
    <mergeCell ref="H1568:I1568"/>
    <mergeCell ref="D1569:E1569"/>
    <mergeCell ref="D1570:E1570"/>
    <mergeCell ref="H1570:L1570"/>
    <mergeCell ref="H1603:I1603"/>
    <mergeCell ref="B1600:N1600"/>
    <mergeCell ref="H1585:M1585"/>
    <mergeCell ref="D1572:E1572"/>
    <mergeCell ref="C1789:D1789"/>
    <mergeCell ref="H1796:I1796"/>
    <mergeCell ref="H1797:I1797"/>
    <mergeCell ref="H1719:I1719"/>
    <mergeCell ref="H1720:I1720"/>
    <mergeCell ref="C1705:E1705"/>
    <mergeCell ref="H1705:I1705"/>
    <mergeCell ref="D1706:E1706"/>
    <mergeCell ref="H1706:I1706"/>
    <mergeCell ref="D1707:E1707"/>
    <mergeCell ref="H1707:I1707"/>
    <mergeCell ref="D1708:E1708"/>
    <mergeCell ref="D1709:E1709"/>
    <mergeCell ref="H1781:L1781"/>
    <mergeCell ref="B1775:N1775"/>
    <mergeCell ref="D1604:E1604"/>
    <mergeCell ref="H1604:I1604"/>
    <mergeCell ref="D1605:E1605"/>
    <mergeCell ref="H1777:I1777"/>
    <mergeCell ref="D1778:E1778"/>
    <mergeCell ref="H1778:I1778"/>
    <mergeCell ref="D1779:E1779"/>
    <mergeCell ref="H1743:L1743"/>
    <mergeCell ref="C1205:E1205"/>
    <mergeCell ref="H1205:I1205"/>
    <mergeCell ref="D1206:E1206"/>
    <mergeCell ref="H1206:I1206"/>
    <mergeCell ref="D1207:E1207"/>
    <mergeCell ref="H1207:I1207"/>
    <mergeCell ref="C846:E846"/>
    <mergeCell ref="H846:I846"/>
    <mergeCell ref="D847:E847"/>
    <mergeCell ref="H847:I847"/>
    <mergeCell ref="D848:E848"/>
    <mergeCell ref="H848:I848"/>
    <mergeCell ref="H866:M866"/>
    <mergeCell ref="D853:E853"/>
    <mergeCell ref="H863:I863"/>
    <mergeCell ref="H864:I864"/>
    <mergeCell ref="D1173:E1173"/>
    <mergeCell ref="H1026:I1026"/>
    <mergeCell ref="C1169:E1169"/>
    <mergeCell ref="H1169:I1169"/>
    <mergeCell ref="D849:E849"/>
    <mergeCell ref="D850:E850"/>
    <mergeCell ref="H850:L850"/>
    <mergeCell ref="B882:N882"/>
    <mergeCell ref="D887:E887"/>
    <mergeCell ref="D1132:E1132"/>
    <mergeCell ref="D1137:E1137"/>
    <mergeCell ref="C1138:D1138"/>
    <mergeCell ref="D1088:E1088"/>
    <mergeCell ref="H1088:I1088"/>
    <mergeCell ref="D1089:E1089"/>
    <mergeCell ref="D1090:E1090"/>
    <mergeCell ref="H1025:I1025"/>
    <mergeCell ref="H1105:I1105"/>
    <mergeCell ref="H1028:M1028"/>
    <mergeCell ref="D1004:E1004"/>
    <mergeCell ref="D1005:E1005"/>
    <mergeCell ref="C896:D896"/>
    <mergeCell ref="D926:E926"/>
    <mergeCell ref="H1005:I1005"/>
    <mergeCell ref="D805:E805"/>
    <mergeCell ref="H805:I805"/>
    <mergeCell ref="D806:E806"/>
    <mergeCell ref="D807:E807"/>
    <mergeCell ref="H807:L807"/>
    <mergeCell ref="D1094:E1094"/>
    <mergeCell ref="C1100:D1100"/>
    <mergeCell ref="B920:N920"/>
    <mergeCell ref="C922:E922"/>
    <mergeCell ref="H922:I922"/>
    <mergeCell ref="D923:E923"/>
    <mergeCell ref="H926:L926"/>
    <mergeCell ref="D929:E929"/>
    <mergeCell ref="C935:D935"/>
    <mergeCell ref="H940:I940"/>
    <mergeCell ref="H943:M943"/>
    <mergeCell ref="D967:E967"/>
    <mergeCell ref="H1087:I1087"/>
    <mergeCell ref="C973:D973"/>
    <mergeCell ref="H982:I982"/>
    <mergeCell ref="H983:I983"/>
    <mergeCell ref="H985:M985"/>
    <mergeCell ref="H962:I962"/>
    <mergeCell ref="D1006:E1006"/>
    <mergeCell ref="B1167:N1167"/>
    <mergeCell ref="C1003:E1003"/>
    <mergeCell ref="H924:I924"/>
    <mergeCell ref="D925:E925"/>
    <mergeCell ref="H1007:L1007"/>
    <mergeCell ref="H1151:M1151"/>
    <mergeCell ref="H1148:I1148"/>
    <mergeCell ref="H1149:I1149"/>
    <mergeCell ref="D895:E895"/>
    <mergeCell ref="H1003:I1003"/>
    <mergeCell ref="H785:M785"/>
    <mergeCell ref="D772:E772"/>
    <mergeCell ref="D777:E777"/>
    <mergeCell ref="C778:D778"/>
    <mergeCell ref="H783:I783"/>
    <mergeCell ref="B559:N559"/>
    <mergeCell ref="C561:E561"/>
    <mergeCell ref="H561:I561"/>
    <mergeCell ref="D562:E562"/>
    <mergeCell ref="H562:I562"/>
    <mergeCell ref="D702:E702"/>
    <mergeCell ref="B764:N764"/>
    <mergeCell ref="D770:E770"/>
    <mergeCell ref="H766:I766"/>
    <mergeCell ref="H733:I733"/>
    <mergeCell ref="D734:E734"/>
    <mergeCell ref="D735:E735"/>
    <mergeCell ref="H735:L735"/>
    <mergeCell ref="H748:M748"/>
    <mergeCell ref="D738:E738"/>
    <mergeCell ref="H745:I745"/>
    <mergeCell ref="H746:I746"/>
    <mergeCell ref="D565:E565"/>
    <mergeCell ref="H565:L565"/>
    <mergeCell ref="D572:E572"/>
    <mergeCell ref="H595:I595"/>
    <mergeCell ref="H597:M597"/>
    <mergeCell ref="C731:E731"/>
    <mergeCell ref="H731:I731"/>
    <mergeCell ref="D732:E732"/>
    <mergeCell ref="H732:I732"/>
    <mergeCell ref="D733:E733"/>
    <mergeCell ref="D617:E617"/>
    <mergeCell ref="D422:E422"/>
    <mergeCell ref="H422:L422"/>
    <mergeCell ref="B453:N453"/>
    <mergeCell ref="D456:E456"/>
    <mergeCell ref="H456:I456"/>
    <mergeCell ref="D457:E457"/>
    <mergeCell ref="H472:M472"/>
    <mergeCell ref="D462:E462"/>
    <mergeCell ref="D466:E466"/>
    <mergeCell ref="H469:I469"/>
    <mergeCell ref="H470:I470"/>
    <mergeCell ref="H457:I457"/>
    <mergeCell ref="D458:E458"/>
    <mergeCell ref="D459:E459"/>
    <mergeCell ref="H459:L459"/>
    <mergeCell ref="H437:M437"/>
    <mergeCell ref="D424:E424"/>
    <mergeCell ref="D616:E616"/>
    <mergeCell ref="H616:I616"/>
    <mergeCell ref="D664:E664"/>
    <mergeCell ref="C657:E657"/>
    <mergeCell ref="D419:E419"/>
    <mergeCell ref="H419:I419"/>
    <mergeCell ref="D420:E420"/>
    <mergeCell ref="H397:I397"/>
    <mergeCell ref="H398:I398"/>
    <mergeCell ref="H400:M400"/>
    <mergeCell ref="H384:I384"/>
    <mergeCell ref="D384:E384"/>
    <mergeCell ref="D391:E391"/>
    <mergeCell ref="D385:E385"/>
    <mergeCell ref="H385:I385"/>
    <mergeCell ref="D386:E386"/>
    <mergeCell ref="D387:E387"/>
    <mergeCell ref="H387:L387"/>
    <mergeCell ref="H420:I420"/>
    <mergeCell ref="D421:E421"/>
    <mergeCell ref="C418:E418"/>
    <mergeCell ref="H383:I383"/>
    <mergeCell ref="C383:E383"/>
    <mergeCell ref="B416:N416"/>
    <mergeCell ref="H322:M322"/>
    <mergeCell ref="D304:E304"/>
    <mergeCell ref="H319:I319"/>
    <mergeCell ref="H320:I320"/>
    <mergeCell ref="H277:I277"/>
    <mergeCell ref="H278:I278"/>
    <mergeCell ref="H280:M280"/>
    <mergeCell ref="B295:N295"/>
    <mergeCell ref="C297:E297"/>
    <mergeCell ref="H297:I297"/>
    <mergeCell ref="D298:E298"/>
    <mergeCell ref="H298:I298"/>
    <mergeCell ref="D299:E299"/>
    <mergeCell ref="H299:I299"/>
    <mergeCell ref="D300:E300"/>
    <mergeCell ref="D301:E301"/>
    <mergeCell ref="H301:L301"/>
    <mergeCell ref="C310:D310"/>
    <mergeCell ref="B381:N381"/>
    <mergeCell ref="H365:M365"/>
    <mergeCell ref="D346:E346"/>
    <mergeCell ref="D350:E350"/>
    <mergeCell ref="D351:E351"/>
    <mergeCell ref="D344:E344"/>
    <mergeCell ref="H344:L344"/>
    <mergeCell ref="C352:D352"/>
    <mergeCell ref="H362:I362"/>
    <mergeCell ref="H363:I363"/>
    <mergeCell ref="B338:N338"/>
    <mergeCell ref="C267:D267"/>
    <mergeCell ref="B253:N253"/>
    <mergeCell ref="C186:E186"/>
    <mergeCell ref="H186:I186"/>
    <mergeCell ref="D187:E187"/>
    <mergeCell ref="H187:I187"/>
    <mergeCell ref="D188:E188"/>
    <mergeCell ref="H188:I188"/>
    <mergeCell ref="H205:M205"/>
    <mergeCell ref="D194:E194"/>
    <mergeCell ref="H202:I202"/>
    <mergeCell ref="H203:I203"/>
    <mergeCell ref="D189:E189"/>
    <mergeCell ref="D190:E190"/>
    <mergeCell ref="H190:L190"/>
    <mergeCell ref="C255:E255"/>
    <mergeCell ref="B112:N112"/>
    <mergeCell ref="H114:I114"/>
    <mergeCell ref="D115:E115"/>
    <mergeCell ref="H115:I115"/>
    <mergeCell ref="D261:E261"/>
    <mergeCell ref="D265:E265"/>
    <mergeCell ref="D266:E266"/>
    <mergeCell ref="D120:E120"/>
    <mergeCell ref="D125:E125"/>
    <mergeCell ref="C126:D126"/>
    <mergeCell ref="H128:I128"/>
    <mergeCell ref="H129:I129"/>
    <mergeCell ref="H131:M131"/>
    <mergeCell ref="B184:N184"/>
    <mergeCell ref="D154:E154"/>
    <mergeCell ref="C160:D160"/>
    <mergeCell ref="H61:I61"/>
    <mergeCell ref="H62:I62"/>
    <mergeCell ref="H64:M64"/>
    <mergeCell ref="H45:I45"/>
    <mergeCell ref="H46:I46"/>
    <mergeCell ref="B43:N43"/>
    <mergeCell ref="D46:E46"/>
    <mergeCell ref="C45:E45"/>
    <mergeCell ref="H49:L49"/>
    <mergeCell ref="H47:I47"/>
    <mergeCell ref="C57:D57"/>
    <mergeCell ref="D47:E47"/>
    <mergeCell ref="D48:E48"/>
    <mergeCell ref="D49:E49"/>
    <mergeCell ref="D51:E51"/>
    <mergeCell ref="D56:E56"/>
    <mergeCell ref="H98:M98"/>
    <mergeCell ref="B79:N79"/>
    <mergeCell ref="D82:E82"/>
    <mergeCell ref="H82:I82"/>
    <mergeCell ref="D83:E83"/>
    <mergeCell ref="H83:I83"/>
    <mergeCell ref="D92:E92"/>
    <mergeCell ref="C93:D93"/>
    <mergeCell ref="H95:I95"/>
    <mergeCell ref="H96:I96"/>
    <mergeCell ref="D84:E84"/>
    <mergeCell ref="D85:E85"/>
    <mergeCell ref="H85:L85"/>
    <mergeCell ref="D87:E87"/>
    <mergeCell ref="C81:E81"/>
    <mergeCell ref="H81:I81"/>
    <mergeCell ref="C1502:D1502"/>
    <mergeCell ref="H1505:I1505"/>
    <mergeCell ref="B1486:N1486"/>
    <mergeCell ref="C1307:E1307"/>
    <mergeCell ref="H1307:I1307"/>
    <mergeCell ref="D1308:E1308"/>
    <mergeCell ref="H1308:I1308"/>
    <mergeCell ref="D1309:E1309"/>
    <mergeCell ref="H1309:I1309"/>
    <mergeCell ref="D1310:E1310"/>
    <mergeCell ref="D1311:E1311"/>
    <mergeCell ref="H1311:L1311"/>
    <mergeCell ref="C200:D200"/>
    <mergeCell ref="H255:I255"/>
    <mergeCell ref="D256:E256"/>
    <mergeCell ref="H256:I256"/>
    <mergeCell ref="D257:E257"/>
    <mergeCell ref="H257:I257"/>
    <mergeCell ref="D258:E258"/>
    <mergeCell ref="D259:E259"/>
    <mergeCell ref="H259:L259"/>
    <mergeCell ref="C340:E340"/>
    <mergeCell ref="H340:I340"/>
    <mergeCell ref="D341:E341"/>
    <mergeCell ref="H341:I341"/>
    <mergeCell ref="D342:E342"/>
    <mergeCell ref="H342:I342"/>
    <mergeCell ref="D343:E343"/>
    <mergeCell ref="C1362:D1362"/>
    <mergeCell ref="B1347:N1347"/>
    <mergeCell ref="H1332:M1332"/>
    <mergeCell ref="D1313:E1313"/>
    <mergeCell ref="D1318:E1318"/>
    <mergeCell ref="C1319:D1319"/>
    <mergeCell ref="H1329:I1329"/>
    <mergeCell ref="H1330:I1330"/>
    <mergeCell ref="D1489:E1489"/>
    <mergeCell ref="H1489:I1489"/>
    <mergeCell ref="D1422:E1422"/>
    <mergeCell ref="H1401:M1401"/>
    <mergeCell ref="D1389:E1389"/>
    <mergeCell ref="D1394:E1394"/>
    <mergeCell ref="H1089:I1089"/>
    <mergeCell ref="D1091:E1091"/>
    <mergeCell ref="D618:E618"/>
    <mergeCell ref="H618:L618"/>
    <mergeCell ref="B729:N729"/>
    <mergeCell ref="H639:M639"/>
    <mergeCell ref="D620:E620"/>
    <mergeCell ref="D625:E625"/>
    <mergeCell ref="C626:D626"/>
    <mergeCell ref="H658:I658"/>
    <mergeCell ref="D659:E659"/>
    <mergeCell ref="D661:E661"/>
    <mergeCell ref="H941:I941"/>
    <mergeCell ref="H1091:L1091"/>
    <mergeCell ref="H711:I711"/>
    <mergeCell ref="H712:I712"/>
    <mergeCell ref="H714:M714"/>
    <mergeCell ref="B844:N844"/>
    <mergeCell ref="C766:E766"/>
    <mergeCell ref="H768:I768"/>
    <mergeCell ref="H770:L770"/>
    <mergeCell ref="B655:N655"/>
    <mergeCell ref="D1490:E1490"/>
    <mergeCell ref="C1395:D1395"/>
    <mergeCell ref="C1418:E1418"/>
    <mergeCell ref="H1418:I1418"/>
    <mergeCell ref="D1419:E1419"/>
    <mergeCell ref="H1419:I1419"/>
    <mergeCell ref="D1495:E1495"/>
    <mergeCell ref="H1874:M1874"/>
    <mergeCell ref="D1861:E1861"/>
    <mergeCell ref="D1866:E1866"/>
    <mergeCell ref="C1867:D1867"/>
    <mergeCell ref="H1871:I1871"/>
    <mergeCell ref="H1872:I1872"/>
    <mergeCell ref="C1855:E1855"/>
    <mergeCell ref="H1855:I1855"/>
    <mergeCell ref="D1856:E1856"/>
    <mergeCell ref="H1856:I1856"/>
    <mergeCell ref="D1857:E1857"/>
    <mergeCell ref="H1857:I1857"/>
    <mergeCell ref="D1858:E1858"/>
    <mergeCell ref="D1859:E1859"/>
    <mergeCell ref="H1859:L1859"/>
    <mergeCell ref="H1435:M1435"/>
    <mergeCell ref="H1433:I1433"/>
    <mergeCell ref="H1432:I1432"/>
    <mergeCell ref="H1422:L1422"/>
    <mergeCell ref="H1420:I1420"/>
    <mergeCell ref="D1424:E1424"/>
    <mergeCell ref="D1429:E1429"/>
    <mergeCell ref="C1430:D1430"/>
    <mergeCell ref="D1420:E1420"/>
    <mergeCell ref="D1421:E1421"/>
    <mergeCell ref="H1985:I1985"/>
    <mergeCell ref="H1986:I1986"/>
    <mergeCell ref="D1894:E1894"/>
    <mergeCell ref="D1895:E1895"/>
    <mergeCell ref="H1895:L1895"/>
    <mergeCell ref="D1896:E1896"/>
    <mergeCell ref="D1902:E1902"/>
    <mergeCell ref="C1903:D1903"/>
    <mergeCell ref="H1907:I1907"/>
    <mergeCell ref="C1963:E1963"/>
    <mergeCell ref="D1893:E1893"/>
    <mergeCell ref="H1893:I1893"/>
    <mergeCell ref="H1834:I1834"/>
    <mergeCell ref="D1965:E1965"/>
    <mergeCell ref="H1965:I1965"/>
    <mergeCell ref="D1966:E1966"/>
    <mergeCell ref="D1967:E1967"/>
    <mergeCell ref="H1967:L1967"/>
    <mergeCell ref="B1961:N1961"/>
    <mergeCell ref="D2050:E2050"/>
    <mergeCell ref="D2051:E2051"/>
    <mergeCell ref="H2051:L2051"/>
    <mergeCell ref="H2030:M2030"/>
    <mergeCell ref="D2011:E2011"/>
    <mergeCell ref="D2016:E2016"/>
    <mergeCell ref="C2017:D2017"/>
    <mergeCell ref="H2027:I2027"/>
    <mergeCell ref="H2028:I2028"/>
    <mergeCell ref="B2003:N2003"/>
    <mergeCell ref="H1946:M1946"/>
    <mergeCell ref="D1933:E1933"/>
    <mergeCell ref="D1938:E1938"/>
    <mergeCell ref="C1939:D1939"/>
    <mergeCell ref="H1943:I1943"/>
    <mergeCell ref="H1944:I1944"/>
    <mergeCell ref="C1927:E1927"/>
    <mergeCell ref="H1927:I1927"/>
    <mergeCell ref="D1928:E1928"/>
    <mergeCell ref="H1928:I1928"/>
    <mergeCell ref="D1929:E1929"/>
    <mergeCell ref="H1929:I1929"/>
    <mergeCell ref="D1930:E1930"/>
    <mergeCell ref="D1931:E1931"/>
    <mergeCell ref="H1931:L1931"/>
    <mergeCell ref="H1988:M1988"/>
    <mergeCell ref="D1969:E1969"/>
    <mergeCell ref="H1963:I1963"/>
    <mergeCell ref="D1964:E1964"/>
    <mergeCell ref="H1964:I1964"/>
    <mergeCell ref="D1974:E1974"/>
    <mergeCell ref="C1975:D1975"/>
    <mergeCell ref="H2367:I2367"/>
    <mergeCell ref="D2368:E2368"/>
    <mergeCell ref="C2005:E2005"/>
    <mergeCell ref="H2005:I2005"/>
    <mergeCell ref="D2006:E2006"/>
    <mergeCell ref="H2006:I2006"/>
    <mergeCell ref="D2007:E2007"/>
    <mergeCell ref="H2007:I2007"/>
    <mergeCell ref="D2008:E2008"/>
    <mergeCell ref="D2009:E2009"/>
    <mergeCell ref="H2009:L2009"/>
    <mergeCell ref="B2083:N2083"/>
    <mergeCell ref="H2104:M2104"/>
    <mergeCell ref="D2091:E2091"/>
    <mergeCell ref="D2096:E2096"/>
    <mergeCell ref="C2097:D2097"/>
    <mergeCell ref="H2101:I2101"/>
    <mergeCell ref="H2102:I2102"/>
    <mergeCell ref="D2087:E2087"/>
    <mergeCell ref="H2087:I2087"/>
    <mergeCell ref="H2068:M2068"/>
    <mergeCell ref="D2053:E2053"/>
    <mergeCell ref="D2058:E2058"/>
    <mergeCell ref="C2059:D2059"/>
    <mergeCell ref="H2065:I2065"/>
    <mergeCell ref="H2066:I2066"/>
    <mergeCell ref="C2047:E2047"/>
    <mergeCell ref="H2047:I2047"/>
    <mergeCell ref="D2048:E2048"/>
    <mergeCell ref="H2048:I2048"/>
    <mergeCell ref="D2049:E2049"/>
    <mergeCell ref="H2049:I2049"/>
    <mergeCell ref="D1526:E1526"/>
    <mergeCell ref="H1526:I1526"/>
    <mergeCell ref="B2118:N2118"/>
    <mergeCell ref="B2045:N2045"/>
    <mergeCell ref="H2508:M2508"/>
    <mergeCell ref="D2488:E2488"/>
    <mergeCell ref="D2493:E2493"/>
    <mergeCell ref="C2494:D2494"/>
    <mergeCell ref="H2504:I2504"/>
    <mergeCell ref="C2482:E2482"/>
    <mergeCell ref="H2482:I2482"/>
    <mergeCell ref="D2483:E2483"/>
    <mergeCell ref="H2483:I2483"/>
    <mergeCell ref="D2484:E2484"/>
    <mergeCell ref="H2484:I2484"/>
    <mergeCell ref="D2485:E2485"/>
    <mergeCell ref="D2486:E2486"/>
    <mergeCell ref="H2486:L2486"/>
    <mergeCell ref="H2239:M2239"/>
    <mergeCell ref="D2229:E2229"/>
    <mergeCell ref="B2292:N2292"/>
    <mergeCell ref="H2313:M2313"/>
    <mergeCell ref="D2302:E2302"/>
    <mergeCell ref="H2310:I2310"/>
    <mergeCell ref="H2311:I2311"/>
    <mergeCell ref="C2294:E2294"/>
    <mergeCell ref="H2294:I2294"/>
    <mergeCell ref="D2295:E2295"/>
    <mergeCell ref="H2295:I2295"/>
    <mergeCell ref="D2296:E2296"/>
    <mergeCell ref="H2296:I2296"/>
    <mergeCell ref="B2480:N2480"/>
    <mergeCell ref="D1456:E1456"/>
    <mergeCell ref="C1451:E1451"/>
    <mergeCell ref="B2406:N2406"/>
    <mergeCell ref="H2427:M2427"/>
    <mergeCell ref="D2414:E2414"/>
    <mergeCell ref="D2419:E2419"/>
    <mergeCell ref="D2447:E2447"/>
    <mergeCell ref="H2465:M2465"/>
    <mergeCell ref="D2450:E2450"/>
    <mergeCell ref="D2455:E2455"/>
    <mergeCell ref="C2456:D2456"/>
    <mergeCell ref="H2462:I2462"/>
    <mergeCell ref="H2463:I2463"/>
    <mergeCell ref="H2408:I2408"/>
    <mergeCell ref="D2411:E2411"/>
    <mergeCell ref="D2412:E2412"/>
    <mergeCell ref="C1617:D1617"/>
    <mergeCell ref="C1681:D1681"/>
    <mergeCell ref="H1451:I1451"/>
    <mergeCell ref="D1452:E1452"/>
    <mergeCell ref="H1452:I1452"/>
    <mergeCell ref="B1522:N1522"/>
    <mergeCell ref="H1549:M1549"/>
    <mergeCell ref="D1530:E1530"/>
    <mergeCell ref="D1535:E1535"/>
    <mergeCell ref="C1536:D1536"/>
    <mergeCell ref="H1546:I1546"/>
    <mergeCell ref="H1547:I1547"/>
    <mergeCell ref="C1524:E1524"/>
    <mergeCell ref="H1524:I1524"/>
    <mergeCell ref="D1525:E1525"/>
    <mergeCell ref="H1525:I1525"/>
    <mergeCell ref="H659:I659"/>
    <mergeCell ref="D660:E660"/>
    <mergeCell ref="D1527:E1527"/>
    <mergeCell ref="D1528:E1528"/>
    <mergeCell ref="H1528:L1528"/>
    <mergeCell ref="C2222:E2222"/>
    <mergeCell ref="H2222:I2222"/>
    <mergeCell ref="D2223:E2223"/>
    <mergeCell ref="H2223:I2223"/>
    <mergeCell ref="D2224:E2224"/>
    <mergeCell ref="H2224:I2224"/>
    <mergeCell ref="D2225:E2225"/>
    <mergeCell ref="D2226:E2226"/>
    <mergeCell ref="H2226:L2226"/>
    <mergeCell ref="H2205:M2205"/>
    <mergeCell ref="D2195:E2195"/>
    <mergeCell ref="H2202:I2202"/>
    <mergeCell ref="B1449:N1449"/>
    <mergeCell ref="C2201:D2201"/>
    <mergeCell ref="D2191:E2191"/>
    <mergeCell ref="D2192:E2192"/>
    <mergeCell ref="H2192:L2192"/>
    <mergeCell ref="H2122:I2122"/>
    <mergeCell ref="D2123:E2123"/>
    <mergeCell ref="D2124:E2124"/>
    <mergeCell ref="H2124:L2124"/>
    <mergeCell ref="B2186:N2186"/>
    <mergeCell ref="H2171:M2171"/>
    <mergeCell ref="D2161:E2161"/>
    <mergeCell ref="H2168:I2168"/>
    <mergeCell ref="H2169:I2169"/>
    <mergeCell ref="C2154:E2154"/>
    <mergeCell ref="H563:I563"/>
    <mergeCell ref="D564:E564"/>
    <mergeCell ref="H165:I165"/>
    <mergeCell ref="H166:I166"/>
    <mergeCell ref="H168:M168"/>
    <mergeCell ref="B1925:N1925"/>
    <mergeCell ref="B1889:N1889"/>
    <mergeCell ref="B1564:N1564"/>
    <mergeCell ref="H1472:M1472"/>
    <mergeCell ref="D1457:E1457"/>
    <mergeCell ref="D1462:E1462"/>
    <mergeCell ref="C1463:D1463"/>
    <mergeCell ref="H1469:I1469"/>
    <mergeCell ref="H1470:I1470"/>
    <mergeCell ref="D1453:E1453"/>
    <mergeCell ref="H1453:I1453"/>
    <mergeCell ref="D1454:E1454"/>
    <mergeCell ref="H960:I960"/>
    <mergeCell ref="D961:E961"/>
    <mergeCell ref="H961:I961"/>
    <mergeCell ref="D962:E962"/>
    <mergeCell ref="H964:L964"/>
    <mergeCell ref="D963:E963"/>
    <mergeCell ref="D964:E964"/>
    <mergeCell ref="C960:E960"/>
    <mergeCell ref="B1085:N1085"/>
    <mergeCell ref="C1087:E1087"/>
    <mergeCell ref="H1758:I1758"/>
    <mergeCell ref="H1106:I1106"/>
    <mergeCell ref="H1004:I1004"/>
    <mergeCell ref="D1455:E1455"/>
    <mergeCell ref="H1455:L1455"/>
    <mergeCell ref="D804:E804"/>
    <mergeCell ref="H804:I804"/>
    <mergeCell ref="B145:N145"/>
    <mergeCell ref="C147:E147"/>
    <mergeCell ref="H147:I147"/>
    <mergeCell ref="D148:E148"/>
    <mergeCell ref="H148:I148"/>
    <mergeCell ref="D149:E149"/>
    <mergeCell ref="H149:I149"/>
    <mergeCell ref="D150:E150"/>
    <mergeCell ref="D151:E151"/>
    <mergeCell ref="H151:L151"/>
    <mergeCell ref="H1399:I1399"/>
    <mergeCell ref="C1383:E1383"/>
    <mergeCell ref="H1383:I1383"/>
    <mergeCell ref="D1384:E1384"/>
    <mergeCell ref="H1384:I1384"/>
    <mergeCell ref="D1385:E1385"/>
    <mergeCell ref="H1385:I1385"/>
    <mergeCell ref="D1386:E1386"/>
    <mergeCell ref="D1387:E1387"/>
    <mergeCell ref="H1387:L1387"/>
    <mergeCell ref="C397:D397"/>
    <mergeCell ref="C468:D468"/>
    <mergeCell ref="C744:D744"/>
    <mergeCell ref="C859:D859"/>
    <mergeCell ref="H1366:M1366"/>
    <mergeCell ref="D1356:E1356"/>
    <mergeCell ref="H1363:I1363"/>
    <mergeCell ref="B612:N612"/>
    <mergeCell ref="B1001:N1001"/>
    <mergeCell ref="D563:E563"/>
    <mergeCell ref="B1043:N1043"/>
    <mergeCell ref="C1045:E1045"/>
    <mergeCell ref="H1045:I1045"/>
    <mergeCell ref="D1046:E1046"/>
    <mergeCell ref="H1046:I1046"/>
    <mergeCell ref="D1047:E1047"/>
    <mergeCell ref="H1047:I1047"/>
    <mergeCell ref="D1048:E1048"/>
    <mergeCell ref="D1049:E1049"/>
    <mergeCell ref="H1049:L1049"/>
    <mergeCell ref="D1052:E1052"/>
    <mergeCell ref="C1058:D1058"/>
    <mergeCell ref="H1067:I1067"/>
    <mergeCell ref="H1068:I1068"/>
    <mergeCell ref="H1070:M1070"/>
    <mergeCell ref="D767:E767"/>
    <mergeCell ref="H767:I767"/>
    <mergeCell ref="D768:E768"/>
    <mergeCell ref="D769:E769"/>
    <mergeCell ref="H782:I782"/>
    <mergeCell ref="H923:I923"/>
    <mergeCell ref="D924:E924"/>
    <mergeCell ref="B958:N958"/>
    <mergeCell ref="H828:M828"/>
    <mergeCell ref="D809:E809"/>
    <mergeCell ref="D814:E814"/>
    <mergeCell ref="C815:D815"/>
    <mergeCell ref="H825:I825"/>
    <mergeCell ref="H826:I826"/>
    <mergeCell ref="B801:N801"/>
    <mergeCell ref="C803:E803"/>
    <mergeCell ref="H803:I803"/>
  </mergeCells>
  <dataValidations count="8">
    <dataValidation type="list" allowBlank="1" showInputMessage="1" showErrorMessage="1" sqref="D49:E49 D85:E85 D190:E190 D259:E259 D301:E301 D344:E344 D387:E387 D422:E422 D459:E459 D494:E494 D529:E529 D618:E618 D735:E735 D770:E770 D807:E807 D850:E850 D888:E888 D1820:E1820 D1570:E1570 D1672:E1672 D2298:E2298 D1130:E1130 D1173:E1173 D1245:E1245 D1311:E1311 D1353:E1353 D1528:E1528 D1606:E1606 D1709:E1709 D1781:E1781 D2531:E2531 D1859:E1859 D1931:E1931 D1967:E1967 D2009:E2009 D2051:E2051 D2124:E2124 D2158:E2158 D2192:E2192 D2226:E2226 D2486:E2486 D2370:E2370 D2412:E2412 D2448:E2448 D2089:E2089 D13:E13 D1422:E1422 D1455:E1455 D1895:E1895 D1387:E1387 D118:E118 D661:E661 D1492:E1492 D2260:E2260 D1279:E1279 D225:E225 D2334:E2334 D1209:E1209 D699:E699 D1007:E1007 D1091:E1091 D151:E151 D565:E565 D926:E926 D964:E964 D1743:E1743 D1049:E1049" xr:uid="{00000000-0002-0000-0400-000000000000}">
      <formula1>"ON Pyme CNV Garantizada, Régimen General, ON Pyme, VCP"</formula1>
    </dataValidation>
    <dataValidation type="list" allowBlank="1" showInputMessage="1" showErrorMessage="1" sqref="D59 D95 D202 D269 D312 D354 D399 D432 D470 D504 D539 D628 D746 D780 D817 D861 D898 D1831 D1580 D1683 D2310 D1140 D1183 D1255 D1321 D1364 D1538 D1619 D1723 D1791 D2542 D1869 D1941 D1977 D2019 D2061 D2134 D2169 D2203 D2237 D2496 D2380 D2422 D2458 D2099 D23 D1432 D1465 D1905 D1397 D128 D671 D1504 D2271 D1289 D235 D2346 D1220 D712 D1018 D1102 D162 D580 D937 D975 D1754 D1060" xr:uid="{00000000-0002-0000-0400-000001000000}">
      <formula1>"ARS,USD"</formula1>
    </dataValidation>
    <dataValidation type="list" allowBlank="1" showInputMessage="1" showErrorMessage="1" sqref="D1458:D1460 D88:D90 D195:D197 D262:D264 D305:D307 D347:D349 D392:D394 D425:D427 D463:D465 D497:D499 D532:D534 D621:D623 D739:D741 D773:D775 D810:D812 D854:D856 D891:D893 D1824:D1826 D1573:D1575 D1676:D1678 D2303:D2305 D53:D54 D1176:D1178 D1248:D1250 D1314:D1316 D1357:D1359 D1531:D1533 D1612:D1614 D1716:D1718 D1784:D1786 D2535:D2537 D1862:D1864 D1934:D1936 D1970:D1972 D2012:D2014 D2054:D2056 D2127:D2129 D2162:D2164 D2196:D2198 D2230:D2232 D2489:D2491 D2373:D2375 D2415:D2417 D2451:D2453 D2092:D2094 D17:D18 D1425:D1427 D1133 D1135 D1898:D1900 D1390:D1392 D121:D123 D1747:D1749 D1496:D1497 D2264:D2266 D1282:D1284 D228:D230 D2339:D2341 D1212:D1214 D703:D704 D1011:D1013 D1095:D1097 D155:D157 D573:D575 D930:D932 D968:D970 D665:D666 D668 D1053:D1055" xr:uid="{00000000-0002-0000-0400-000002000000}">
      <formula1>"Individualización N°, Suspensión N°, Rueda Reducida N°"</formula1>
    </dataValidation>
    <dataValidation type="list" allowBlank="1" showInputMessage="1" showErrorMessage="1" sqref="D52 D1134 D16" xr:uid="{00000000-0002-0000-0400-000003000000}">
      <formula1>"Individualización N°,Individualización 2 N°, Suspensión N°, Rueda Reducida N°"</formula1>
    </dataValidation>
    <dataValidation showInputMessage="1" showErrorMessage="1" sqref="E50 E14" xr:uid="{00000000-0002-0000-0400-000004000000}"/>
    <dataValidation type="list" allowBlank="1" showInputMessage="1" showErrorMessage="1" sqref="D302:D303 D1673:D1674 D1607:D1610 D1354:D1355 D851:D852 D736:D737 D2413 D2010 D1571 D1174 D619 D530 D495 D460:D461 D423 D388:D390 D2159:D2160 D260 D345 D771 D808 D889 D1710:D1714 D2299:D2301 D1131 D1246 D1312 D1423 D1529 D2227:D2228 D2193:D2194 D1860 D1932 D1968 D2052 D2125 D2371 D2449 D2487 D191:D193 D663 D2261:D2262 D2335:D2336 D701" xr:uid="{00000000-0002-0000-0400-000005000000}">
      <formula1>$B$5:$B$84</formula1>
    </dataValidation>
    <dataValidation type="list" allowBlank="1" showInputMessage="1" showErrorMessage="1" sqref="D14 D1782" xr:uid="{00000000-0002-0000-0400-000006000000}">
      <formula1>$C$13:$C$59</formula1>
    </dataValidation>
    <dataValidation type="list" allowBlank="1" showInputMessage="1" showErrorMessage="1" sqref="D119 D700 D1210 D226 D1280 D1493:D1494 D662" xr:uid="{00000000-0002-0000-0400-000007000000}">
      <formula1>$C$13:$C$54</formula1>
    </dataValidation>
  </dataValidations>
  <pageMargins left="0.7" right="0.7" top="0.75" bottom="0.75" header="0.3" footer="0.3"/>
  <pageSetup scale="69" orientation="landscape" r:id="rId1"/>
  <ignoredErrors>
    <ignoredError sqref="K1501:K1502"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8000000}">
          <x14:formula1>
            <xm:f>'ENTIDADES DE GARANTIA'!$C$13:$C$61</xm:f>
          </x14:formula1>
          <xm:sqref>D50 D1744:D1745 D965:D966 D927:D928 D566:D571 D152:D153 D1092:D1093 D1008:D1009 D1388 D2532:D2533 D1821:D1822 D1050:D1051</xm:sqref>
        </x14:dataValidation>
        <x14:dataValidation type="list" allowBlank="1" showInputMessage="1" showErrorMessage="1" xr:uid="{00000000-0002-0000-0400-000009000000}">
          <x14:formula1>
            <xm:f>'ENTIDADES DE GARANTIA'!$C$13:$C$56</xm:f>
          </x14:formula1>
          <xm:sqref>D86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9999"/>
    <pageSetUpPr fitToPage="1"/>
  </sheetPr>
  <dimension ref="A1:R1841"/>
  <sheetViews>
    <sheetView tabSelected="1" topLeftCell="B1823" zoomScale="90" zoomScaleNormal="90" workbookViewId="0">
      <selection activeCell="L1823" sqref="L1823"/>
    </sheetView>
  </sheetViews>
  <sheetFormatPr baseColWidth="10" defaultRowHeight="12.75" x14ac:dyDescent="0.25"/>
  <cols>
    <col min="1" max="1" width="6.7109375" style="22" customWidth="1"/>
    <col min="2" max="2" width="3.7109375" style="22" customWidth="1"/>
    <col min="3" max="3" width="20.855468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5703125" style="22" customWidth="1"/>
    <col min="15" max="15" width="28.85546875" style="22" bestFit="1" customWidth="1"/>
    <col min="16" max="16" width="10.28515625" style="22" bestFit="1" customWidth="1"/>
    <col min="17" max="17" width="4.7109375" style="22" bestFit="1" customWidth="1"/>
    <col min="18" max="18" width="12.7109375" style="22" customWidth="1"/>
    <col min="19" max="19" width="5.7109375" style="22" customWidth="1"/>
    <col min="20" max="22" width="14.7109375" style="22" customWidth="1"/>
    <col min="23" max="16384" width="11.42578125" style="22"/>
  </cols>
  <sheetData>
    <row r="1" spans="1:16" ht="18" customHeight="1" x14ac:dyDescent="0.25">
      <c r="A1" s="121"/>
      <c r="B1" s="19"/>
      <c r="C1" s="20"/>
      <c r="D1" s="20"/>
      <c r="E1" s="20"/>
      <c r="F1" s="20"/>
      <c r="G1" s="20"/>
      <c r="H1" s="20"/>
      <c r="I1" s="20"/>
      <c r="J1" s="20"/>
      <c r="K1" s="20"/>
      <c r="L1" s="20"/>
      <c r="M1" s="20"/>
      <c r="N1" s="21"/>
    </row>
    <row r="2" spans="1:16" ht="18" customHeight="1" x14ac:dyDescent="0.25">
      <c r="A2" s="121"/>
      <c r="B2" s="23"/>
      <c r="C2" s="24"/>
      <c r="D2" s="24"/>
      <c r="E2" s="24"/>
      <c r="F2" s="24"/>
      <c r="G2" s="24"/>
      <c r="H2" s="24"/>
      <c r="I2" s="24"/>
      <c r="J2" s="672" t="s">
        <v>1</v>
      </c>
      <c r="K2" s="673"/>
      <c r="L2" s="673"/>
      <c r="M2" s="674"/>
      <c r="N2" s="25"/>
    </row>
    <row r="3" spans="1:16" ht="18" customHeight="1" x14ac:dyDescent="0.25">
      <c r="A3" s="121"/>
      <c r="B3" s="23"/>
      <c r="C3" s="24"/>
      <c r="D3" s="24"/>
      <c r="E3" s="24"/>
      <c r="F3" s="24"/>
      <c r="G3" s="24"/>
      <c r="H3" s="24"/>
      <c r="I3" s="24"/>
      <c r="J3" s="24"/>
      <c r="K3" s="24"/>
      <c r="L3" s="24"/>
      <c r="N3" s="25"/>
    </row>
    <row r="4" spans="1:16" ht="18" customHeight="1" x14ac:dyDescent="0.25">
      <c r="A4" s="121"/>
      <c r="B4" s="23"/>
      <c r="C4" s="24"/>
      <c r="D4" s="24"/>
      <c r="E4" s="24"/>
      <c r="F4" s="24"/>
      <c r="G4" s="24"/>
      <c r="H4" s="24"/>
      <c r="I4" s="24"/>
      <c r="J4" s="125" t="s">
        <v>49</v>
      </c>
      <c r="K4" s="24"/>
      <c r="L4" s="123" t="s">
        <v>0</v>
      </c>
      <c r="M4" s="80">
        <f>+Reporte!N6</f>
        <v>45861</v>
      </c>
      <c r="N4" s="25"/>
      <c r="P4" s="417">
        <f>VLOOKUP(M4,'Tasas-TC'!A9:C2456,3)</f>
        <v>1266.17</v>
      </c>
    </row>
    <row r="5" spans="1:16" ht="18" customHeight="1" x14ac:dyDescent="0.25">
      <c r="A5" s="121"/>
      <c r="B5" s="26"/>
      <c r="C5" s="27"/>
      <c r="D5" s="27"/>
      <c r="E5" s="27"/>
      <c r="F5" s="27"/>
      <c r="G5" s="27"/>
      <c r="H5" s="27"/>
      <c r="I5" s="27"/>
      <c r="J5" s="27"/>
      <c r="K5" s="27"/>
      <c r="L5" s="27"/>
      <c r="M5" s="27"/>
      <c r="N5" s="28"/>
    </row>
    <row r="6" spans="1:16" ht="15.95" customHeight="1" x14ac:dyDescent="0.25">
      <c r="A6" s="121"/>
      <c r="B6" s="19"/>
      <c r="C6" s="84"/>
      <c r="D6" s="20"/>
      <c r="E6" s="20"/>
      <c r="F6" s="38"/>
      <c r="G6" s="38"/>
      <c r="H6" s="38"/>
      <c r="I6" s="38"/>
      <c r="J6" s="20"/>
      <c r="K6" s="20"/>
      <c r="L6" s="20"/>
      <c r="M6" s="20"/>
      <c r="N6" s="21"/>
    </row>
    <row r="7" spans="1:16" ht="20.100000000000001" customHeight="1" x14ac:dyDescent="0.25">
      <c r="A7" s="122" t="s">
        <v>115</v>
      </c>
      <c r="B7" s="115"/>
      <c r="C7" s="116"/>
      <c r="D7" s="116"/>
      <c r="E7" s="116"/>
      <c r="F7" s="117"/>
      <c r="G7" s="117"/>
      <c r="H7" s="117"/>
      <c r="I7" s="117"/>
      <c r="J7" s="116"/>
      <c r="K7" s="116"/>
      <c r="L7" s="116"/>
      <c r="M7" s="116"/>
      <c r="N7" s="118"/>
    </row>
    <row r="8" spans="1:16" ht="15.95" customHeight="1" x14ac:dyDescent="0.25">
      <c r="A8" s="121"/>
      <c r="B8" s="683" t="s">
        <v>525</v>
      </c>
      <c r="C8" s="684"/>
      <c r="D8" s="684"/>
      <c r="E8" s="684"/>
      <c r="F8" s="684"/>
      <c r="G8" s="684"/>
      <c r="H8" s="684"/>
      <c r="I8" s="684"/>
      <c r="J8" s="684"/>
      <c r="K8" s="684"/>
      <c r="L8" s="684"/>
      <c r="M8" s="684"/>
      <c r="N8" s="685"/>
    </row>
    <row r="9" spans="1:16" ht="15.95" customHeight="1" x14ac:dyDescent="0.25">
      <c r="A9" s="121"/>
      <c r="B9" s="23"/>
      <c r="C9" s="24"/>
      <c r="D9" s="24"/>
      <c r="E9" s="24"/>
      <c r="F9" s="31"/>
      <c r="G9" s="87"/>
      <c r="H9" s="31"/>
      <c r="I9" s="31"/>
      <c r="J9" s="24"/>
      <c r="K9" s="24"/>
      <c r="L9" s="24"/>
      <c r="M9" s="24"/>
      <c r="N9" s="25"/>
    </row>
    <row r="10" spans="1:16" ht="15.95" customHeight="1" x14ac:dyDescent="0.25">
      <c r="A10" s="121"/>
      <c r="B10" s="23"/>
      <c r="C10" s="638" t="s">
        <v>37</v>
      </c>
      <c r="D10" s="639"/>
      <c r="E10" s="640"/>
      <c r="F10" s="31"/>
      <c r="G10" s="87"/>
      <c r="H10" s="641" t="s">
        <v>28</v>
      </c>
      <c r="I10" s="642"/>
      <c r="J10" s="39">
        <f>+$D$30-SUMIF($H$17:$H$22,"&lt;"&amp;$M$4,$K$17:$K$22)</f>
        <v>50000</v>
      </c>
      <c r="K10" s="24"/>
      <c r="L10" s="24"/>
      <c r="M10" s="24"/>
      <c r="N10" s="25"/>
    </row>
    <row r="11" spans="1:16" ht="15.95" customHeight="1" x14ac:dyDescent="0.25">
      <c r="A11" s="121"/>
      <c r="B11" s="23"/>
      <c r="C11" s="58"/>
      <c r="D11" s="664"/>
      <c r="E11" s="665"/>
      <c r="F11" s="31"/>
      <c r="G11" s="87"/>
      <c r="H11" s="645" t="s">
        <v>29</v>
      </c>
      <c r="I11" s="646"/>
      <c r="J11" s="40">
        <f>H21</f>
        <v>45908</v>
      </c>
      <c r="K11" s="24"/>
      <c r="L11" s="24"/>
      <c r="M11" s="24"/>
      <c r="N11" s="25"/>
    </row>
    <row r="12" spans="1:16" ht="15.95" customHeight="1" x14ac:dyDescent="0.25">
      <c r="A12" s="121"/>
      <c r="B12" s="23"/>
      <c r="C12" s="59" t="s">
        <v>25</v>
      </c>
      <c r="D12" s="681"/>
      <c r="E12" s="682"/>
      <c r="F12" s="31"/>
      <c r="G12" s="87"/>
      <c r="H12" s="649" t="s">
        <v>30</v>
      </c>
      <c r="I12" s="650"/>
      <c r="J12" s="42">
        <f>+COUPNCD($M$4,J11,2,2)</f>
        <v>45908</v>
      </c>
      <c r="K12" s="24"/>
      <c r="L12" s="24"/>
      <c r="M12" s="24"/>
      <c r="N12" s="25"/>
    </row>
    <row r="13" spans="1:16" ht="15.95" customHeight="1" x14ac:dyDescent="0.25">
      <c r="A13" s="121"/>
      <c r="B13" s="23"/>
      <c r="C13" s="59" t="s">
        <v>6</v>
      </c>
      <c r="D13" s="681" t="s">
        <v>526</v>
      </c>
      <c r="E13" s="682"/>
      <c r="F13" s="31"/>
      <c r="G13" s="87"/>
      <c r="H13" s="24"/>
      <c r="I13" s="24"/>
      <c r="J13" s="24"/>
      <c r="K13" s="24"/>
      <c r="L13" s="24"/>
      <c r="M13" s="24"/>
      <c r="N13" s="25"/>
    </row>
    <row r="14" spans="1:16" ht="15.95" customHeight="1" x14ac:dyDescent="0.25">
      <c r="A14" s="121"/>
      <c r="B14" s="23"/>
      <c r="C14" s="59" t="s">
        <v>8</v>
      </c>
      <c r="D14" s="681" t="s">
        <v>17</v>
      </c>
      <c r="E14" s="682"/>
      <c r="F14" s="31"/>
      <c r="G14" s="87"/>
      <c r="H14" s="651" t="s">
        <v>41</v>
      </c>
      <c r="I14" s="652"/>
      <c r="J14" s="652"/>
      <c r="K14" s="652"/>
      <c r="L14" s="653"/>
      <c r="M14" s="24"/>
      <c r="N14" s="25"/>
    </row>
    <row r="15" spans="1:16" ht="15.95" customHeight="1" x14ac:dyDescent="0.25">
      <c r="A15" s="121"/>
      <c r="B15" s="23"/>
      <c r="C15" s="59" t="s">
        <v>33</v>
      </c>
      <c r="D15" s="132" t="s">
        <v>309</v>
      </c>
      <c r="E15" s="274">
        <v>1</v>
      </c>
      <c r="F15" s="281">
        <f>+E15*J10</f>
        <v>50000</v>
      </c>
      <c r="G15" s="87"/>
      <c r="H15" s="126" t="s">
        <v>0</v>
      </c>
      <c r="I15" s="127" t="s">
        <v>2</v>
      </c>
      <c r="J15" s="127" t="s">
        <v>3</v>
      </c>
      <c r="K15" s="127" t="s">
        <v>4</v>
      </c>
      <c r="L15" s="128" t="s">
        <v>5</v>
      </c>
      <c r="M15" s="127" t="s">
        <v>44</v>
      </c>
      <c r="N15" s="25"/>
    </row>
    <row r="16" spans="1:16" ht="15.95" customHeight="1" x14ac:dyDescent="0.25">
      <c r="A16" s="121"/>
      <c r="B16" s="23"/>
      <c r="C16" s="59" t="s">
        <v>34</v>
      </c>
      <c r="D16" s="689" t="s">
        <v>48</v>
      </c>
      <c r="E16" s="690"/>
      <c r="F16" s="31"/>
      <c r="G16" s="87"/>
      <c r="H16" s="45"/>
      <c r="I16" s="46"/>
      <c r="J16" s="46"/>
      <c r="K16" s="46"/>
      <c r="L16" s="47"/>
      <c r="M16" s="23"/>
      <c r="N16" s="25"/>
    </row>
    <row r="17" spans="1:14" ht="15.95" customHeight="1" x14ac:dyDescent="0.25">
      <c r="A17" s="121"/>
      <c r="B17" s="23"/>
      <c r="C17" s="79" t="s">
        <v>38</v>
      </c>
      <c r="D17" s="130"/>
      <c r="E17" s="131"/>
      <c r="F17" s="31"/>
      <c r="G17" s="87"/>
      <c r="H17" s="48">
        <f>+$D$28</f>
        <v>45177</v>
      </c>
      <c r="I17" s="136"/>
      <c r="J17" s="49"/>
      <c r="K17" s="49"/>
      <c r="L17" s="50">
        <f>+D30</f>
        <v>200000</v>
      </c>
      <c r="M17" s="93">
        <f>-L17</f>
        <v>-200000</v>
      </c>
      <c r="N17" s="25"/>
    </row>
    <row r="18" spans="1:14" ht="15.95" customHeight="1" x14ac:dyDescent="0.25">
      <c r="A18" s="121"/>
      <c r="B18" s="23"/>
      <c r="C18" s="59"/>
      <c r="D18" s="132"/>
      <c r="E18" s="133"/>
      <c r="F18" s="31"/>
      <c r="G18" s="87"/>
      <c r="H18" s="51">
        <v>45359</v>
      </c>
      <c r="I18" s="137" t="s">
        <v>13</v>
      </c>
      <c r="J18" s="52">
        <v>0</v>
      </c>
      <c r="K18" s="52">
        <v>50000</v>
      </c>
      <c r="L18" s="53">
        <f>+L17-K18</f>
        <v>150000</v>
      </c>
      <c r="M18" s="94">
        <f>+J18+K18</f>
        <v>50000</v>
      </c>
      <c r="N18" s="25"/>
    </row>
    <row r="19" spans="1:14" ht="15.95" customHeight="1" x14ac:dyDescent="0.25">
      <c r="A19" s="121"/>
      <c r="B19" s="23"/>
      <c r="C19" s="60"/>
      <c r="D19" s="134"/>
      <c r="E19" s="135"/>
      <c r="F19" s="34"/>
      <c r="G19" s="88"/>
      <c r="H19" s="51">
        <v>45543</v>
      </c>
      <c r="I19" s="137" t="s">
        <v>13</v>
      </c>
      <c r="J19" s="52">
        <v>0</v>
      </c>
      <c r="K19" s="52">
        <v>50000</v>
      </c>
      <c r="L19" s="53">
        <f>+L18-K19</f>
        <v>100000</v>
      </c>
      <c r="M19" s="94">
        <f>+J19+K19</f>
        <v>50000</v>
      </c>
      <c r="N19" s="25"/>
    </row>
    <row r="20" spans="1:14" ht="15.95" customHeight="1" x14ac:dyDescent="0.25">
      <c r="A20" s="121"/>
      <c r="B20" s="23"/>
      <c r="C20" s="60"/>
      <c r="D20" s="275" t="str">
        <f>B8</f>
        <v>Agriseed I</v>
      </c>
      <c r="E20" s="276"/>
      <c r="F20" s="34"/>
      <c r="G20" s="88">
        <f>J10</f>
        <v>50000</v>
      </c>
      <c r="H20" s="51">
        <v>45724</v>
      </c>
      <c r="I20" s="137" t="s">
        <v>13</v>
      </c>
      <c r="J20" s="52">
        <v>0</v>
      </c>
      <c r="K20" s="52">
        <v>50000</v>
      </c>
      <c r="L20" s="53">
        <f>+L19-K20</f>
        <v>50000</v>
      </c>
      <c r="M20" s="94">
        <f>+J20+K20</f>
        <v>50000</v>
      </c>
      <c r="N20" s="25"/>
    </row>
    <row r="21" spans="1:14" ht="15.95" customHeight="1" x14ac:dyDescent="0.25">
      <c r="A21" s="121"/>
      <c r="B21" s="32"/>
      <c r="D21" s="277"/>
      <c r="E21" s="277"/>
      <c r="F21" s="34"/>
      <c r="G21" s="88"/>
      <c r="H21" s="51">
        <v>45908</v>
      </c>
      <c r="I21" s="137" t="s">
        <v>13</v>
      </c>
      <c r="J21" s="52">
        <v>0</v>
      </c>
      <c r="K21" s="52">
        <v>50000</v>
      </c>
      <c r="L21" s="53">
        <f>+L20-K21</f>
        <v>0</v>
      </c>
      <c r="M21" s="94">
        <f>+J21+K21</f>
        <v>50000</v>
      </c>
      <c r="N21" s="25"/>
    </row>
    <row r="22" spans="1:14" ht="15.95" customHeight="1" x14ac:dyDescent="0.25">
      <c r="A22" s="121"/>
      <c r="B22" s="23"/>
      <c r="C22" s="638" t="s">
        <v>36</v>
      </c>
      <c r="D22" s="640"/>
      <c r="E22" s="36"/>
      <c r="F22" s="34"/>
      <c r="G22" s="89"/>
      <c r="H22" s="51"/>
      <c r="I22" s="137"/>
      <c r="J22" s="52"/>
      <c r="K22" s="52"/>
      <c r="L22" s="53"/>
      <c r="M22" s="94"/>
      <c r="N22" s="25"/>
    </row>
    <row r="23" spans="1:14" ht="15.95" customHeight="1" x14ac:dyDescent="0.25">
      <c r="A23" s="121"/>
      <c r="B23" s="23"/>
      <c r="C23" s="59"/>
      <c r="D23" s="62"/>
      <c r="E23" s="36"/>
      <c r="F23" s="36"/>
      <c r="G23" s="89"/>
      <c r="H23" s="54"/>
      <c r="I23" s="61"/>
      <c r="J23" s="55"/>
      <c r="K23" s="56"/>
      <c r="L23" s="57"/>
      <c r="M23" s="95"/>
      <c r="N23" s="25"/>
    </row>
    <row r="24" spans="1:14" ht="15.95" customHeight="1" x14ac:dyDescent="0.25">
      <c r="A24" s="121"/>
      <c r="B24" s="23"/>
      <c r="C24" s="59" t="s">
        <v>9</v>
      </c>
      <c r="D24" s="129" t="s">
        <v>49</v>
      </c>
      <c r="E24" s="36"/>
      <c r="F24" s="36"/>
      <c r="G24" s="89"/>
      <c r="H24" s="24"/>
      <c r="I24" s="24"/>
      <c r="J24" s="24"/>
      <c r="K24" s="24"/>
      <c r="L24" s="24"/>
      <c r="M24" s="24"/>
      <c r="N24" s="25"/>
    </row>
    <row r="25" spans="1:14" ht="15.95" customHeight="1" x14ac:dyDescent="0.25">
      <c r="A25" s="121"/>
      <c r="B25" s="23"/>
      <c r="C25" s="59" t="s">
        <v>51</v>
      </c>
      <c r="D25" s="138" t="s">
        <v>49</v>
      </c>
      <c r="E25" s="36"/>
      <c r="F25" s="36"/>
      <c r="G25" s="89"/>
      <c r="H25" s="680" t="s">
        <v>43</v>
      </c>
      <c r="I25" s="680"/>
      <c r="J25" s="92">
        <f>J10</f>
        <v>50000</v>
      </c>
      <c r="K25" s="92"/>
      <c r="L25" s="24"/>
      <c r="M25" s="24"/>
      <c r="N25" s="25"/>
    </row>
    <row r="26" spans="1:14" ht="15.95" customHeight="1" x14ac:dyDescent="0.25">
      <c r="A26" s="121"/>
      <c r="B26" s="23"/>
      <c r="C26" s="59" t="s">
        <v>52</v>
      </c>
      <c r="D26" s="138" t="s">
        <v>49</v>
      </c>
      <c r="E26" s="36"/>
      <c r="F26" s="36"/>
      <c r="G26" s="90"/>
      <c r="H26" s="657"/>
      <c r="I26" s="657"/>
      <c r="J26" s="392"/>
      <c r="K26" s="24"/>
      <c r="L26" s="33"/>
      <c r="M26" s="33"/>
      <c r="N26" s="25"/>
    </row>
    <row r="27" spans="1:14" ht="15.95" customHeight="1" x14ac:dyDescent="0.25">
      <c r="A27" s="121"/>
      <c r="B27" s="23"/>
      <c r="C27" s="59" t="s">
        <v>10</v>
      </c>
      <c r="D27" s="139">
        <v>45174</v>
      </c>
      <c r="E27" s="36"/>
      <c r="F27" s="36"/>
      <c r="G27" s="90"/>
      <c r="H27" s="24"/>
      <c r="I27" s="24"/>
      <c r="J27" s="24"/>
      <c r="K27" s="24"/>
      <c r="L27" s="24"/>
      <c r="M27" s="24"/>
      <c r="N27" s="25"/>
    </row>
    <row r="28" spans="1:14" ht="15.95" customHeight="1" x14ac:dyDescent="0.25">
      <c r="A28" s="121"/>
      <c r="B28" s="23"/>
      <c r="C28" s="59" t="s">
        <v>11</v>
      </c>
      <c r="D28" s="139">
        <v>45177</v>
      </c>
      <c r="E28" s="41"/>
      <c r="F28" s="24"/>
      <c r="G28" s="90"/>
      <c r="H28" s="638" t="s">
        <v>44</v>
      </c>
      <c r="I28" s="639"/>
      <c r="J28" s="639"/>
      <c r="K28" s="639"/>
      <c r="L28" s="639"/>
      <c r="M28" s="640"/>
      <c r="N28" s="25"/>
    </row>
    <row r="29" spans="1:14" ht="15.95" customHeight="1" x14ac:dyDescent="0.25">
      <c r="A29" s="121"/>
      <c r="B29" s="23"/>
      <c r="C29" s="59" t="s">
        <v>12</v>
      </c>
      <c r="D29" s="139">
        <v>45908</v>
      </c>
      <c r="E29" s="36"/>
      <c r="F29" s="24"/>
      <c r="G29" s="90"/>
      <c r="H29" s="23"/>
      <c r="I29" s="24"/>
      <c r="J29" s="24"/>
      <c r="K29" s="24"/>
      <c r="L29" s="24"/>
      <c r="M29" s="25"/>
      <c r="N29" s="25"/>
    </row>
    <row r="30" spans="1:14" ht="15.95" customHeight="1" x14ac:dyDescent="0.25">
      <c r="A30" s="121"/>
      <c r="B30" s="23"/>
      <c r="C30" s="59" t="s">
        <v>27</v>
      </c>
      <c r="D30" s="140">
        <v>200000</v>
      </c>
      <c r="E30" s="43"/>
      <c r="F30" s="24"/>
      <c r="G30" s="90"/>
      <c r="H30" s="23"/>
      <c r="I30" s="24"/>
      <c r="J30" s="24"/>
      <c r="K30" s="24"/>
      <c r="L30" s="24"/>
      <c r="M30" s="25"/>
      <c r="N30" s="25"/>
    </row>
    <row r="31" spans="1:14" ht="15.95" customHeight="1" x14ac:dyDescent="0.25">
      <c r="A31" s="121"/>
      <c r="B31" s="23"/>
      <c r="C31" s="59" t="s">
        <v>65</v>
      </c>
      <c r="D31" s="140">
        <v>0</v>
      </c>
      <c r="E31" s="43"/>
      <c r="F31" s="24"/>
      <c r="G31" s="90"/>
      <c r="H31" s="96"/>
      <c r="I31" s="35"/>
      <c r="J31" s="24"/>
      <c r="K31" s="24"/>
      <c r="L31" s="24"/>
      <c r="M31" s="25"/>
      <c r="N31" s="25"/>
    </row>
    <row r="32" spans="1:14" ht="15.95" customHeight="1" x14ac:dyDescent="0.25">
      <c r="A32" s="121"/>
      <c r="B32" s="23"/>
      <c r="C32" s="59" t="s">
        <v>26</v>
      </c>
      <c r="D32" s="140">
        <v>0</v>
      </c>
      <c r="E32" s="43"/>
      <c r="F32" s="24"/>
      <c r="G32" s="90"/>
      <c r="H32" s="23"/>
      <c r="I32" s="24"/>
      <c r="J32" s="24"/>
      <c r="K32" s="24"/>
      <c r="L32" s="24"/>
      <c r="M32" s="25"/>
      <c r="N32" s="25"/>
    </row>
    <row r="33" spans="1:15" ht="15.95" customHeight="1" x14ac:dyDescent="0.25">
      <c r="A33" s="121"/>
      <c r="B33" s="23"/>
      <c r="C33" s="59" t="s">
        <v>19</v>
      </c>
      <c r="D33" s="141" t="s">
        <v>50</v>
      </c>
      <c r="E33" s="43"/>
      <c r="F33" s="24"/>
      <c r="G33" s="90"/>
      <c r="H33" s="23"/>
      <c r="I33" s="24"/>
      <c r="J33" s="24"/>
      <c r="K33" s="24"/>
      <c r="L33" s="24"/>
      <c r="M33" s="25"/>
      <c r="N33" s="25"/>
    </row>
    <row r="34" spans="1:15" ht="15.95" customHeight="1" x14ac:dyDescent="0.25">
      <c r="A34" s="121"/>
      <c r="B34" s="23"/>
      <c r="C34" s="59" t="s">
        <v>14</v>
      </c>
      <c r="D34" s="142">
        <v>0</v>
      </c>
      <c r="E34" s="44"/>
      <c r="F34" s="24"/>
      <c r="G34" s="90"/>
      <c r="H34" s="23"/>
      <c r="I34" s="24"/>
      <c r="J34" s="24"/>
      <c r="K34" s="24"/>
      <c r="L34" s="24"/>
      <c r="M34" s="25"/>
      <c r="N34" s="25"/>
    </row>
    <row r="35" spans="1:15" ht="15.95" customHeight="1" x14ac:dyDescent="0.25">
      <c r="A35" s="121"/>
      <c r="B35" s="23"/>
      <c r="C35" s="59" t="s">
        <v>55</v>
      </c>
      <c r="D35" s="143">
        <v>0.25</v>
      </c>
      <c r="E35" s="24"/>
      <c r="F35" s="24"/>
      <c r="G35" s="90"/>
      <c r="H35" s="23"/>
      <c r="I35" s="24"/>
      <c r="J35" s="24"/>
      <c r="K35" s="24"/>
      <c r="L35" s="24"/>
      <c r="M35" s="25"/>
      <c r="N35" s="25"/>
    </row>
    <row r="36" spans="1:15" ht="15.95" customHeight="1" x14ac:dyDescent="0.25">
      <c r="A36" s="121"/>
      <c r="B36" s="23"/>
      <c r="C36" s="63"/>
      <c r="D36" s="64"/>
      <c r="E36" s="24"/>
      <c r="F36" s="24"/>
      <c r="G36" s="90"/>
      <c r="H36" s="23"/>
      <c r="I36" s="24"/>
      <c r="J36" s="24"/>
      <c r="K36" s="24"/>
      <c r="L36" s="24"/>
      <c r="M36" s="25"/>
      <c r="N36" s="25"/>
    </row>
    <row r="37" spans="1:15" ht="15.95" customHeight="1" x14ac:dyDescent="0.25">
      <c r="A37" s="121"/>
      <c r="B37" s="23"/>
      <c r="C37" s="24"/>
      <c r="D37" s="24"/>
      <c r="E37" s="24"/>
      <c r="F37" s="24"/>
      <c r="G37" s="90"/>
      <c r="H37" s="23"/>
      <c r="I37" s="24"/>
      <c r="J37" s="24"/>
      <c r="K37" s="24"/>
      <c r="L37" s="24"/>
      <c r="M37" s="25"/>
      <c r="N37" s="25"/>
    </row>
    <row r="38" spans="1:15" ht="15.95" customHeight="1" x14ac:dyDescent="0.25">
      <c r="A38" s="121"/>
      <c r="B38" s="23"/>
      <c r="C38" s="24"/>
      <c r="D38" s="24"/>
      <c r="E38" s="24"/>
      <c r="F38" s="24"/>
      <c r="G38" s="90"/>
      <c r="H38" s="23"/>
      <c r="I38" s="24"/>
      <c r="J38" s="24"/>
      <c r="K38" s="24"/>
      <c r="L38" s="24"/>
      <c r="M38" s="25"/>
      <c r="N38" s="25"/>
    </row>
    <row r="39" spans="1:15" ht="15.95" customHeight="1" x14ac:dyDescent="0.25">
      <c r="A39" s="121"/>
      <c r="B39" s="23"/>
      <c r="C39" s="24"/>
      <c r="D39" s="24"/>
      <c r="E39" s="24"/>
      <c r="F39" s="24"/>
      <c r="G39" s="90"/>
      <c r="H39" s="23"/>
      <c r="I39" s="24"/>
      <c r="J39" s="24"/>
      <c r="K39" s="24"/>
      <c r="L39" s="24"/>
      <c r="M39" s="25"/>
      <c r="N39" s="25"/>
    </row>
    <row r="40" spans="1:15" ht="15.95" customHeight="1" x14ac:dyDescent="0.25">
      <c r="A40" s="121"/>
      <c r="B40" s="23"/>
      <c r="C40" s="24"/>
      <c r="D40" s="24"/>
      <c r="E40" s="24"/>
      <c r="F40" s="24"/>
      <c r="G40" s="90"/>
      <c r="H40" s="26"/>
      <c r="I40" s="27"/>
      <c r="J40" s="27"/>
      <c r="K40" s="27"/>
      <c r="L40" s="27"/>
      <c r="M40" s="28"/>
      <c r="N40" s="25"/>
    </row>
    <row r="41" spans="1:15" ht="15.95" customHeight="1" x14ac:dyDescent="0.25">
      <c r="A41" s="121"/>
      <c r="B41" s="26"/>
      <c r="C41" s="85"/>
      <c r="D41" s="27"/>
      <c r="E41" s="27"/>
      <c r="F41" s="27"/>
      <c r="G41" s="91"/>
      <c r="H41" s="27"/>
      <c r="I41" s="27"/>
      <c r="J41" s="27"/>
      <c r="K41" s="27"/>
      <c r="L41" s="27"/>
      <c r="M41" s="27"/>
      <c r="N41" s="28"/>
    </row>
    <row r="42" spans="1:15" ht="15.95" customHeight="1" x14ac:dyDescent="0.25">
      <c r="A42" s="121"/>
      <c r="B42" s="23"/>
      <c r="C42" s="24"/>
      <c r="D42" s="24"/>
      <c r="E42" s="24"/>
      <c r="F42" s="24"/>
      <c r="G42" s="24"/>
      <c r="H42" s="24"/>
      <c r="I42" s="24"/>
      <c r="J42" s="24"/>
      <c r="K42" s="24"/>
      <c r="L42" s="24"/>
      <c r="M42" s="24"/>
      <c r="N42" s="25"/>
    </row>
    <row r="43" spans="1:15" ht="20.100000000000001" customHeight="1" x14ac:dyDescent="0.25">
      <c r="A43" s="121"/>
      <c r="B43" s="683" t="s">
        <v>140</v>
      </c>
      <c r="C43" s="684"/>
      <c r="D43" s="684"/>
      <c r="E43" s="684"/>
      <c r="F43" s="684"/>
      <c r="G43" s="684"/>
      <c r="H43" s="684"/>
      <c r="I43" s="684"/>
      <c r="J43" s="684"/>
      <c r="K43" s="684"/>
      <c r="L43" s="684"/>
      <c r="M43" s="684"/>
      <c r="N43" s="685"/>
    </row>
    <row r="44" spans="1:15" ht="15.95" customHeight="1" x14ac:dyDescent="0.25">
      <c r="A44" s="121"/>
      <c r="B44" s="23"/>
      <c r="C44" s="24"/>
      <c r="D44" s="24"/>
      <c r="E44" s="24"/>
      <c r="F44" s="31"/>
      <c r="G44" s="87"/>
      <c r="H44" s="31"/>
      <c r="I44" s="31"/>
      <c r="J44" s="24"/>
      <c r="K44" s="24"/>
      <c r="L44" s="24"/>
      <c r="M44" s="24"/>
      <c r="N44" s="25"/>
    </row>
    <row r="45" spans="1:15" ht="15.95" customHeight="1" x14ac:dyDescent="0.25">
      <c r="A45" s="121"/>
      <c r="B45" s="23"/>
      <c r="C45" s="638" t="s">
        <v>37</v>
      </c>
      <c r="D45" s="639"/>
      <c r="E45" s="640"/>
      <c r="F45" s="31"/>
      <c r="G45" s="87"/>
      <c r="H45" s="641" t="s">
        <v>28</v>
      </c>
      <c r="I45" s="642"/>
      <c r="J45" s="39">
        <f t="array" ref="J45">+$D$65-SUMIF($H$51:$H$57,"&lt;"&amp;$M$4,$K$51:$K$57)</f>
        <v>0</v>
      </c>
      <c r="K45" s="24"/>
      <c r="L45" s="24"/>
      <c r="M45" s="24"/>
      <c r="N45" s="25"/>
      <c r="O45" s="194" t="str">
        <f>+D49</f>
        <v>ON Pyme CNV Garantizada</v>
      </c>
    </row>
    <row r="46" spans="1:15" ht="15.95" customHeight="1" x14ac:dyDescent="0.25">
      <c r="A46" s="121"/>
      <c r="B46" s="23"/>
      <c r="C46" s="58"/>
      <c r="D46" s="664"/>
      <c r="E46" s="665"/>
      <c r="F46" s="31"/>
      <c r="G46" s="87"/>
      <c r="H46" s="645" t="s">
        <v>29</v>
      </c>
      <c r="I46" s="646"/>
      <c r="J46" s="40">
        <f>+$D$64</f>
        <v>43930</v>
      </c>
      <c r="K46" s="24"/>
      <c r="L46" s="24"/>
      <c r="M46" s="24"/>
      <c r="N46" s="25"/>
    </row>
    <row r="47" spans="1:15" ht="15.95" customHeight="1" x14ac:dyDescent="0.25">
      <c r="A47" s="121"/>
      <c r="B47" s="23"/>
      <c r="C47" s="59" t="s">
        <v>25</v>
      </c>
      <c r="D47" s="681"/>
      <c r="E47" s="682"/>
      <c r="F47" s="31"/>
      <c r="G47" s="87"/>
      <c r="H47" s="649" t="s">
        <v>30</v>
      </c>
      <c r="I47" s="650"/>
      <c r="J47" s="42" t="str">
        <f t="array" ref="J47">+IF($H57&gt;=$M$4,MIN(IF($H$51:$H58&gt;$M$4,$H$51:$H58,"")),"vencida")</f>
        <v>vencida</v>
      </c>
      <c r="K47" s="24"/>
      <c r="L47" s="24"/>
      <c r="M47" s="24"/>
      <c r="N47" s="25"/>
      <c r="O47" s="194" t="str">
        <f>+IF(J47="vencida",IF(D49='Reporte - Oscuro'!$C$40,'Reporte - Oscuro'!$C$40&amp;" vencida",IF(D49='Reporte - Oscuro'!$C$41,'Reporte - Oscuro'!$C$41&amp;" vencida",IF(D49='Reporte - Oscuro'!$C$42,'Reporte - Oscuro'!$C$42&amp;" vencida",'Reporte - Oscuro'!$C$43&amp;" vencida"))),D49&amp;" vigente")</f>
        <v>ON Pyme CNV Garantizada vencida</v>
      </c>
    </row>
    <row r="48" spans="1:15" ht="15.95" customHeight="1" x14ac:dyDescent="0.25">
      <c r="A48" s="121"/>
      <c r="B48" s="23"/>
      <c r="C48" s="59" t="s">
        <v>6</v>
      </c>
      <c r="D48" s="681" t="s">
        <v>87</v>
      </c>
      <c r="E48" s="682"/>
      <c r="F48" s="31"/>
      <c r="G48" s="87"/>
      <c r="H48" s="24"/>
      <c r="I48" s="24"/>
      <c r="J48" s="24"/>
      <c r="K48" s="24"/>
      <c r="L48" s="24"/>
      <c r="M48" s="24"/>
      <c r="N48" s="25"/>
    </row>
    <row r="49" spans="1:17" ht="15.95" customHeight="1" x14ac:dyDescent="0.25">
      <c r="A49" s="121"/>
      <c r="B49" s="23"/>
      <c r="C49" s="59" t="s">
        <v>8</v>
      </c>
      <c r="D49" s="681" t="s">
        <v>17</v>
      </c>
      <c r="E49" s="682"/>
      <c r="F49" s="31"/>
      <c r="G49" s="87"/>
      <c r="H49" s="651" t="s">
        <v>41</v>
      </c>
      <c r="I49" s="652"/>
      <c r="J49" s="652"/>
      <c r="K49" s="652"/>
      <c r="L49" s="653"/>
      <c r="M49" s="24"/>
      <c r="N49" s="25"/>
    </row>
    <row r="50" spans="1:17" ht="15.95" customHeight="1" x14ac:dyDescent="0.25">
      <c r="A50" s="121"/>
      <c r="B50" s="23"/>
      <c r="C50" s="59" t="s">
        <v>33</v>
      </c>
      <c r="D50" s="132" t="s">
        <v>297</v>
      </c>
      <c r="E50" s="274">
        <v>1</v>
      </c>
      <c r="F50" s="281">
        <f>+E50*J45</f>
        <v>0</v>
      </c>
      <c r="G50" s="87"/>
      <c r="H50" s="126" t="s">
        <v>0</v>
      </c>
      <c r="I50" s="127" t="s">
        <v>2</v>
      </c>
      <c r="J50" s="127" t="s">
        <v>3</v>
      </c>
      <c r="K50" s="127" t="s">
        <v>4</v>
      </c>
      <c r="L50" s="128" t="s">
        <v>5</v>
      </c>
      <c r="M50" s="127" t="s">
        <v>44</v>
      </c>
      <c r="N50" s="25"/>
    </row>
    <row r="51" spans="1:17" ht="15.95" customHeight="1" x14ac:dyDescent="0.25">
      <c r="A51" s="121"/>
      <c r="B51" s="23"/>
      <c r="C51" s="59" t="s">
        <v>34</v>
      </c>
      <c r="D51" s="689" t="s">
        <v>48</v>
      </c>
      <c r="E51" s="690"/>
      <c r="F51" s="31"/>
      <c r="G51" s="87"/>
      <c r="H51" s="45"/>
      <c r="I51" s="46"/>
      <c r="J51" s="46"/>
      <c r="K51" s="46"/>
      <c r="L51" s="47"/>
      <c r="M51" s="23"/>
      <c r="N51" s="25"/>
    </row>
    <row r="52" spans="1:17" ht="15.95" customHeight="1" x14ac:dyDescent="0.25">
      <c r="A52" s="121"/>
      <c r="B52" s="23"/>
      <c r="C52" s="79" t="s">
        <v>38</v>
      </c>
      <c r="D52" s="130"/>
      <c r="E52" s="131"/>
      <c r="F52" s="31"/>
      <c r="G52" s="87"/>
      <c r="H52" s="48">
        <f>+$D$63</f>
        <v>43017</v>
      </c>
      <c r="I52" s="136"/>
      <c r="J52" s="49"/>
      <c r="K52" s="49"/>
      <c r="L52" s="50">
        <f>+D65</f>
        <v>400000</v>
      </c>
      <c r="M52" s="93">
        <f>-L52</f>
        <v>-400000</v>
      </c>
      <c r="N52" s="25"/>
      <c r="O52" s="97">
        <f>+M52</f>
        <v>-400000</v>
      </c>
      <c r="P52" s="197">
        <f>-M52</f>
        <v>400000</v>
      </c>
      <c r="Q52" s="197"/>
    </row>
    <row r="53" spans="1:17" ht="15.95" customHeight="1" x14ac:dyDescent="0.25">
      <c r="A53" s="121"/>
      <c r="B53" s="23"/>
      <c r="C53" s="59"/>
      <c r="D53" s="132"/>
      <c r="E53" s="133"/>
      <c r="F53" s="31"/>
      <c r="G53" s="87"/>
      <c r="H53" s="51">
        <f>IF(DAY(H52)=DAY($H$52),IF(WEEKDAY(EDATE(H52,$D$66),3)&lt;5,EDATE(H52,$D$66),WORKDAY(EDATE(H52,$D$66),1)),IF(WEEKDAY(EDATE($H$52,$D$66*COUNT($H$52:H52)),3)&lt;5,EDATE($H$52,$D$66*COUNT($H$52:H52)),WORKDAY(EDATE($H$52,$D$66*COUNT($H$52:H52)),1)))</f>
        <v>43199</v>
      </c>
      <c r="I53" s="137" t="s">
        <v>88</v>
      </c>
      <c r="J53" s="52">
        <f>+(($D$69/365)*(H53-H52))*L52</f>
        <v>11468.493150684932</v>
      </c>
      <c r="K53" s="52">
        <f>+IF(OR(I53="A + C",I53="A"),$L$52*$D$70,0)</f>
        <v>0</v>
      </c>
      <c r="L53" s="53">
        <f>+L52-K53</f>
        <v>400000</v>
      </c>
      <c r="M53" s="94">
        <f>+J53+K53</f>
        <v>11468.493150684932</v>
      </c>
      <c r="N53" s="25"/>
      <c r="O53" s="97">
        <f>+M53+O52</f>
        <v>-388531.50684931508</v>
      </c>
      <c r="P53" s="197">
        <f>+(M53/(1+J62)^((H53-H52)/365))/P52</f>
        <v>2.8671232876712329E-2</v>
      </c>
      <c r="Q53" s="197">
        <f>+P53*((H53-H52)/365)</f>
        <v>1.4296340776881217E-2</v>
      </c>
    </row>
    <row r="54" spans="1:17" ht="15.95" customHeight="1" x14ac:dyDescent="0.25">
      <c r="A54" s="121"/>
      <c r="B54" s="23"/>
      <c r="C54" s="60"/>
      <c r="D54" s="134"/>
      <c r="E54" s="135"/>
      <c r="F54" s="34"/>
      <c r="G54" s="88"/>
      <c r="H54" s="51">
        <f>IF(DAY(H53)=DAY($H$52),IF(WEEKDAY(EDATE(H53,$D$67),3)&lt;5,EDATE(H53,$D$67),WORKDAY(EDATE(H53,$D$67),1)),IF(WEEKDAY(EDATE($H$52,$D$67*COUNT($H$52:H53)),3)&lt;5,EDATE($H$52,$D$67*COUNT($H$52:H53)),WORKDAY(EDATE($H$52,$D$67*COUNT($H$52:H53)),1)))</f>
        <v>43382</v>
      </c>
      <c r="I54" s="137" t="s">
        <v>7</v>
      </c>
      <c r="J54" s="52">
        <f>+(($D$69/365)*(H54-H53))*L53</f>
        <v>11531.50684931507</v>
      </c>
      <c r="K54" s="52">
        <f>+IF(OR(I54="A + C",I54="A"),$D$65*$D$70,0)</f>
        <v>0</v>
      </c>
      <c r="L54" s="53">
        <f>+L53-K54</f>
        <v>400000</v>
      </c>
      <c r="M54" s="94">
        <f>+J54+K54</f>
        <v>11531.50684931507</v>
      </c>
      <c r="N54" s="25"/>
      <c r="O54" s="97">
        <f>+M54+O53</f>
        <v>-377000</v>
      </c>
      <c r="P54" s="197">
        <f>+(M54/(1+J62)^((H54-H52)/365))/P52</f>
        <v>2.8828767123287677E-2</v>
      </c>
      <c r="Q54" s="197">
        <f>+P54*((H54-H52)/365)</f>
        <v>2.8828767123287677E-2</v>
      </c>
    </row>
    <row r="55" spans="1:17" ht="15.95" customHeight="1" x14ac:dyDescent="0.25">
      <c r="A55" s="121"/>
      <c r="B55" s="23"/>
      <c r="C55" s="60"/>
      <c r="D55" s="275" t="str">
        <f>B43</f>
        <v>Agroempresa Colon I</v>
      </c>
      <c r="E55" s="276"/>
      <c r="F55" s="34"/>
      <c r="G55" s="88">
        <f>J45</f>
        <v>0</v>
      </c>
      <c r="H55" s="51">
        <f>IF(DAY(H54)=DAY($H$52),IF(WEEKDAY(EDATE(H54,$D$67),3)&lt;5,EDATE(H54,$D$67),WORKDAY(EDATE(H54,$D$67),1)),IF(WEEKDAY(EDATE($H$52,$D$67*COUNT($H$52:H54)),3)&lt;5,EDATE($H$52,$D$67*COUNT($H$52:H54)),WORKDAY(EDATE($H$52,$D$67*COUNT($H$52:H54)),1)))</f>
        <v>43564</v>
      </c>
      <c r="I55" s="137" t="s">
        <v>7</v>
      </c>
      <c r="J55" s="52">
        <f>+(($D$69/365)*(H55-H54))*L54</f>
        <v>11468.493150684932</v>
      </c>
      <c r="K55" s="52">
        <f>+IF(OR(I55="A + C",I55="A"),$D$65*$D$70,0)</f>
        <v>0</v>
      </c>
      <c r="L55" s="53">
        <f>+L54-K55</f>
        <v>400000</v>
      </c>
      <c r="M55" s="94">
        <f>+J55+K55</f>
        <v>11468.493150684932</v>
      </c>
      <c r="N55" s="25"/>
      <c r="O55" s="97">
        <f>+M55+O54</f>
        <v>-365531.50684931508</v>
      </c>
      <c r="P55" s="197">
        <f>+(M55/(1+J62)^((H55-H52)/365))/P52</f>
        <v>2.8671232876712329E-2</v>
      </c>
      <c r="Q55" s="197">
        <f>+P55*((H55-H52)/365)</f>
        <v>4.2967573653593542E-2</v>
      </c>
    </row>
    <row r="56" spans="1:17" ht="15.95" customHeight="1" x14ac:dyDescent="0.25">
      <c r="A56" s="121"/>
      <c r="B56" s="32"/>
      <c r="D56" s="277"/>
      <c r="E56" s="277"/>
      <c r="F56" s="34"/>
      <c r="G56" s="88"/>
      <c r="H56" s="51">
        <f>IF(DAY(H55)=DAY($H$52),IF(WEEKDAY(EDATE(H55,$D$67),3)&lt;5,EDATE(H55,$D$67),WORKDAY(EDATE(H55,$D$67),1)),IF(WEEKDAY(EDATE($H$52,$D$67*COUNT($H$52:H55)),3)&lt;5,EDATE($H$52,$D$67*COUNT($H$52:H55)),WORKDAY(EDATE($H$52,$D$67*COUNT($H$52:H55)),1)))</f>
        <v>43747</v>
      </c>
      <c r="I56" s="137" t="s">
        <v>7</v>
      </c>
      <c r="J56" s="52">
        <f>+(($D$69/365)*(H56-H55))*L55</f>
        <v>11531.50684931507</v>
      </c>
      <c r="K56" s="52">
        <f>+IF(OR(I56="A + C",I56="A"),$D$65*$D$70,0)</f>
        <v>0</v>
      </c>
      <c r="L56" s="53">
        <f>+L55-K56</f>
        <v>400000</v>
      </c>
      <c r="M56" s="94">
        <f>+J56+K56</f>
        <v>11531.50684931507</v>
      </c>
      <c r="N56" s="25"/>
      <c r="O56" s="97">
        <f>+M56+O55</f>
        <v>-354000</v>
      </c>
      <c r="P56" s="197">
        <f>+(M56/(1+J62)^((H56-H52)/365))/P52</f>
        <v>2.8828767123287677E-2</v>
      </c>
      <c r="Q56" s="197">
        <f>+P56*((H56-H52)/365)</f>
        <v>5.7657534246575354E-2</v>
      </c>
    </row>
    <row r="57" spans="1:17" ht="15.95" customHeight="1" x14ac:dyDescent="0.25">
      <c r="A57" s="121"/>
      <c r="B57" s="23"/>
      <c r="C57" s="638" t="s">
        <v>36</v>
      </c>
      <c r="D57" s="640"/>
      <c r="E57" s="36"/>
      <c r="F57" s="34"/>
      <c r="G57" s="89"/>
      <c r="H57" s="51">
        <f>IF(DAY(H56)=DAY($H$52),IF(WEEKDAY(EDATE(H56,$D$67),3)&lt;5,EDATE(H56,$D$67),WORKDAY(EDATE(H56,$D$67),1)),IF(WEEKDAY(EDATE($H$52,$D$67*COUNT($H$52:H56)),3)&lt;5,EDATE($H$52,$D$67*COUNT($H$52:H56)),WORKDAY(EDATE($H$52,$D$67*COUNT($H$52:H56)),1)))</f>
        <v>43930</v>
      </c>
      <c r="I57" s="137" t="s">
        <v>13</v>
      </c>
      <c r="J57" s="52">
        <f>+(($D$69/365)*(H57-H56))*L56</f>
        <v>11531.50684931507</v>
      </c>
      <c r="K57" s="52">
        <f>+IF(OR(I57="A + C",I57="A"),$D$65*$D$70,0)</f>
        <v>400000</v>
      </c>
      <c r="L57" s="53">
        <f>+L56-K57</f>
        <v>0</v>
      </c>
      <c r="M57" s="94">
        <f>+J57+K57</f>
        <v>411531.50684931508</v>
      </c>
      <c r="N57" s="25"/>
      <c r="O57" s="97">
        <f>+M57+O56</f>
        <v>57531.506849315076</v>
      </c>
      <c r="P57" s="197">
        <f>+(M57/(1+J62)^((H57-H52)/365))/P52</f>
        <v>1.0288287671232876</v>
      </c>
      <c r="Q57" s="197">
        <f>+P57*((H57-H52)/365)</f>
        <v>2.5734812722837304</v>
      </c>
    </row>
    <row r="58" spans="1:17" ht="15.95" customHeight="1" x14ac:dyDescent="0.25">
      <c r="A58" s="121"/>
      <c r="B58" s="23"/>
      <c r="C58" s="59"/>
      <c r="D58" s="62"/>
      <c r="E58" s="36"/>
      <c r="F58" s="36"/>
      <c r="G58" s="89"/>
      <c r="H58" s="54"/>
      <c r="I58" s="61"/>
      <c r="J58" s="55"/>
      <c r="K58" s="56"/>
      <c r="L58" s="57"/>
      <c r="M58" s="95"/>
      <c r="N58" s="25"/>
      <c r="P58" s="197">
        <f>+(M58/(1+J62)^((H58-H52)/365))/P52</f>
        <v>0</v>
      </c>
      <c r="Q58" s="197">
        <f>+P58*((H58-H52)/365)</f>
        <v>0</v>
      </c>
    </row>
    <row r="59" spans="1:17" ht="15.95" customHeight="1" x14ac:dyDescent="0.25">
      <c r="A59" s="121"/>
      <c r="B59" s="23"/>
      <c r="C59" s="59" t="s">
        <v>9</v>
      </c>
      <c r="D59" s="129" t="s">
        <v>49</v>
      </c>
      <c r="E59" s="36"/>
      <c r="F59" s="36"/>
      <c r="G59" s="89"/>
      <c r="H59" s="24"/>
      <c r="I59" s="24"/>
      <c r="J59" s="24"/>
      <c r="K59" s="24"/>
      <c r="L59" s="24"/>
      <c r="M59" s="24"/>
      <c r="N59" s="25"/>
    </row>
    <row r="60" spans="1:17" ht="15.95" customHeight="1" x14ac:dyDescent="0.25">
      <c r="A60" s="121"/>
      <c r="B60" s="23"/>
      <c r="C60" s="59" t="s">
        <v>51</v>
      </c>
      <c r="D60" s="138" t="s">
        <v>49</v>
      </c>
      <c r="E60" s="36"/>
      <c r="F60" s="36"/>
      <c r="G60" s="89"/>
      <c r="H60" s="680" t="s">
        <v>43</v>
      </c>
      <c r="I60" s="680"/>
      <c r="J60" s="92">
        <v>0</v>
      </c>
      <c r="K60" s="92"/>
      <c r="L60" s="24"/>
      <c r="M60" s="24"/>
      <c r="N60" s="25"/>
    </row>
    <row r="61" spans="1:17" ht="15.95" customHeight="1" x14ac:dyDescent="0.25">
      <c r="A61" s="121"/>
      <c r="B61" s="23"/>
      <c r="C61" s="59" t="s">
        <v>52</v>
      </c>
      <c r="D61" s="138" t="s">
        <v>49</v>
      </c>
      <c r="E61" s="36"/>
      <c r="F61" s="36"/>
      <c r="G61" s="90"/>
      <c r="H61" s="657"/>
      <c r="I61" s="657"/>
      <c r="J61" s="392"/>
      <c r="K61" s="24"/>
      <c r="L61" s="33"/>
      <c r="M61" s="33"/>
      <c r="N61" s="25"/>
    </row>
    <row r="62" spans="1:17" ht="15.95" customHeight="1" x14ac:dyDescent="0.25">
      <c r="A62" s="121"/>
      <c r="B62" s="23"/>
      <c r="C62" s="59" t="s">
        <v>10</v>
      </c>
      <c r="D62" s="139">
        <v>43015</v>
      </c>
      <c r="E62" s="36"/>
      <c r="F62" s="36"/>
      <c r="G62" s="90"/>
      <c r="H62" s="24"/>
      <c r="I62" s="24"/>
      <c r="J62" s="24"/>
      <c r="K62" s="24"/>
      <c r="L62" s="24"/>
      <c r="M62" s="24"/>
      <c r="N62" s="25"/>
    </row>
    <row r="63" spans="1:17" ht="15.95" customHeight="1" x14ac:dyDescent="0.25">
      <c r="A63" s="121"/>
      <c r="B63" s="23"/>
      <c r="C63" s="59" t="s">
        <v>11</v>
      </c>
      <c r="D63" s="139">
        <v>43017</v>
      </c>
      <c r="E63" s="41"/>
      <c r="F63" s="24"/>
      <c r="G63" s="90"/>
      <c r="H63" s="638" t="s">
        <v>44</v>
      </c>
      <c r="I63" s="639"/>
      <c r="J63" s="639"/>
      <c r="K63" s="639"/>
      <c r="L63" s="639"/>
      <c r="M63" s="640"/>
      <c r="N63" s="25"/>
    </row>
    <row r="64" spans="1:17" ht="15.95" customHeight="1" x14ac:dyDescent="0.25">
      <c r="A64" s="121"/>
      <c r="B64" s="23"/>
      <c r="C64" s="59" t="s">
        <v>12</v>
      </c>
      <c r="D64" s="139">
        <v>43930</v>
      </c>
      <c r="E64" s="36"/>
      <c r="F64" s="24"/>
      <c r="G64" s="90"/>
      <c r="H64" s="23"/>
      <c r="I64" s="24"/>
      <c r="J64" s="24"/>
      <c r="K64" s="24"/>
      <c r="L64" s="24"/>
      <c r="M64" s="25"/>
      <c r="N64" s="25"/>
    </row>
    <row r="65" spans="1:15" ht="15.95" customHeight="1" x14ac:dyDescent="0.25">
      <c r="A65" s="121"/>
      <c r="B65" s="23"/>
      <c r="C65" s="59" t="s">
        <v>27</v>
      </c>
      <c r="D65" s="140">
        <v>400000</v>
      </c>
      <c r="E65" s="43"/>
      <c r="F65" s="24"/>
      <c r="G65" s="90"/>
      <c r="H65" s="23"/>
      <c r="I65" s="24"/>
      <c r="J65" s="24"/>
      <c r="K65" s="24"/>
      <c r="L65" s="24"/>
      <c r="M65" s="25"/>
      <c r="N65" s="25"/>
    </row>
    <row r="66" spans="1:15" ht="15.95" customHeight="1" x14ac:dyDescent="0.25">
      <c r="A66" s="121"/>
      <c r="B66" s="23"/>
      <c r="C66" s="59" t="s">
        <v>65</v>
      </c>
      <c r="D66" s="140">
        <v>6</v>
      </c>
      <c r="E66" s="43"/>
      <c r="F66" s="24"/>
      <c r="G66" s="90"/>
      <c r="H66" s="96"/>
      <c r="I66" s="35"/>
      <c r="J66" s="24"/>
      <c r="K66" s="24"/>
      <c r="L66" s="24"/>
      <c r="M66" s="25"/>
      <c r="N66" s="25"/>
    </row>
    <row r="67" spans="1:15" ht="15.95" customHeight="1" x14ac:dyDescent="0.25">
      <c r="A67" s="121"/>
      <c r="B67" s="23"/>
      <c r="C67" s="59" t="s">
        <v>26</v>
      </c>
      <c r="D67" s="140">
        <v>6</v>
      </c>
      <c r="E67" s="43"/>
      <c r="F67" s="24"/>
      <c r="G67" s="90"/>
      <c r="H67" s="23"/>
      <c r="I67" s="24"/>
      <c r="J67" s="24"/>
      <c r="K67" s="24"/>
      <c r="L67" s="24"/>
      <c r="M67" s="25"/>
      <c r="N67" s="25"/>
    </row>
    <row r="68" spans="1:15" ht="15.95" customHeight="1" x14ac:dyDescent="0.25">
      <c r="A68" s="121"/>
      <c r="B68" s="23"/>
      <c r="C68" s="59" t="s">
        <v>19</v>
      </c>
      <c r="D68" s="141" t="s">
        <v>50</v>
      </c>
      <c r="E68" s="43"/>
      <c r="F68" s="24"/>
      <c r="G68" s="90"/>
      <c r="H68" s="23"/>
      <c r="I68" s="24"/>
      <c r="J68" s="24"/>
      <c r="K68" s="24"/>
      <c r="L68" s="24"/>
      <c r="M68" s="25"/>
      <c r="N68" s="25"/>
    </row>
    <row r="69" spans="1:15" ht="15.95" customHeight="1" x14ac:dyDescent="0.25">
      <c r="A69" s="121"/>
      <c r="B69" s="23"/>
      <c r="C69" s="59" t="s">
        <v>14</v>
      </c>
      <c r="D69" s="142">
        <v>5.7500000000000002E-2</v>
      </c>
      <c r="E69" s="44"/>
      <c r="F69" s="24"/>
      <c r="G69" s="90"/>
      <c r="H69" s="23"/>
      <c r="I69" s="24"/>
      <c r="J69" s="24"/>
      <c r="K69" s="24"/>
      <c r="L69" s="24"/>
      <c r="M69" s="25"/>
      <c r="N69" s="25"/>
    </row>
    <row r="70" spans="1:15" ht="15.95" customHeight="1" x14ac:dyDescent="0.25">
      <c r="A70" s="121"/>
      <c r="B70" s="23"/>
      <c r="C70" s="59" t="s">
        <v>55</v>
      </c>
      <c r="D70" s="143">
        <v>1</v>
      </c>
      <c r="E70" s="24"/>
      <c r="F70" s="24"/>
      <c r="G70" s="90"/>
      <c r="H70" s="23"/>
      <c r="I70" s="24"/>
      <c r="J70" s="24"/>
      <c r="K70" s="24"/>
      <c r="L70" s="24"/>
      <c r="M70" s="25"/>
      <c r="N70" s="25"/>
    </row>
    <row r="71" spans="1:15" ht="15.95" customHeight="1" x14ac:dyDescent="0.25">
      <c r="A71" s="121"/>
      <c r="B71" s="23"/>
      <c r="C71" s="63"/>
      <c r="D71" s="64"/>
      <c r="E71" s="24"/>
      <c r="F71" s="24"/>
      <c r="G71" s="90"/>
      <c r="H71" s="23"/>
      <c r="I71" s="24"/>
      <c r="J71" s="24"/>
      <c r="K71" s="24"/>
      <c r="L71" s="24"/>
      <c r="M71" s="25"/>
      <c r="N71" s="25"/>
    </row>
    <row r="72" spans="1:15" ht="15.95" customHeight="1" x14ac:dyDescent="0.25">
      <c r="A72" s="121"/>
      <c r="B72" s="23"/>
      <c r="C72" s="24"/>
      <c r="D72" s="24"/>
      <c r="E72" s="24"/>
      <c r="F72" s="24"/>
      <c r="G72" s="90"/>
      <c r="H72" s="23"/>
      <c r="I72" s="24"/>
      <c r="J72" s="24"/>
      <c r="K72" s="24"/>
      <c r="L72" s="24"/>
      <c r="M72" s="25"/>
      <c r="N72" s="25"/>
    </row>
    <row r="73" spans="1:15" ht="15.95" customHeight="1" x14ac:dyDescent="0.25">
      <c r="A73" s="121"/>
      <c r="B73" s="23"/>
      <c r="C73" s="24"/>
      <c r="D73" s="24"/>
      <c r="E73" s="24"/>
      <c r="F73" s="24"/>
      <c r="G73" s="90"/>
      <c r="H73" s="23"/>
      <c r="I73" s="24"/>
      <c r="J73" s="24"/>
      <c r="K73" s="24"/>
      <c r="L73" s="24"/>
      <c r="M73" s="25"/>
      <c r="N73" s="25"/>
    </row>
    <row r="74" spans="1:15" ht="15.95" customHeight="1" x14ac:dyDescent="0.25">
      <c r="A74" s="121"/>
      <c r="B74" s="23"/>
      <c r="C74" s="24"/>
      <c r="D74" s="24"/>
      <c r="E74" s="24"/>
      <c r="F74" s="24"/>
      <c r="G74" s="90"/>
      <c r="H74" s="23"/>
      <c r="I74" s="24"/>
      <c r="J74" s="24"/>
      <c r="K74" s="24"/>
      <c r="L74" s="24"/>
      <c r="M74" s="25"/>
      <c r="N74" s="25"/>
    </row>
    <row r="75" spans="1:15" ht="15.95" customHeight="1" x14ac:dyDescent="0.25">
      <c r="A75" s="121"/>
      <c r="B75" s="23"/>
      <c r="C75" s="24"/>
      <c r="D75" s="24"/>
      <c r="E75" s="24"/>
      <c r="F75" s="24"/>
      <c r="G75" s="90"/>
      <c r="H75" s="26"/>
      <c r="I75" s="27"/>
      <c r="J75" s="27"/>
      <c r="K75" s="27"/>
      <c r="L75" s="27"/>
      <c r="M75" s="28"/>
      <c r="N75" s="25"/>
    </row>
    <row r="76" spans="1:15" ht="15.95" customHeight="1" x14ac:dyDescent="0.25">
      <c r="A76" s="121"/>
      <c r="B76" s="26"/>
      <c r="C76" s="85"/>
      <c r="D76" s="27"/>
      <c r="E76" s="27"/>
      <c r="F76" s="27"/>
      <c r="G76" s="91"/>
      <c r="H76" s="27"/>
      <c r="I76" s="27"/>
      <c r="J76" s="27"/>
      <c r="K76" s="27"/>
      <c r="L76" s="27"/>
      <c r="M76" s="27"/>
      <c r="N76" s="28"/>
    </row>
    <row r="77" spans="1:15" ht="15.95" customHeight="1" x14ac:dyDescent="0.25">
      <c r="A77" s="121"/>
      <c r="B77" s="23"/>
      <c r="C77" s="24"/>
      <c r="D77" s="24"/>
      <c r="E77" s="24"/>
      <c r="F77" s="24"/>
      <c r="G77" s="24"/>
      <c r="H77" s="24"/>
      <c r="I77" s="24"/>
      <c r="J77" s="24"/>
      <c r="K77" s="24"/>
      <c r="L77" s="24"/>
      <c r="M77" s="24"/>
      <c r="N77" s="25"/>
    </row>
    <row r="78" spans="1:15" ht="20.100000000000001" customHeight="1" x14ac:dyDescent="0.25">
      <c r="A78" s="121"/>
      <c r="B78" s="683" t="s">
        <v>151</v>
      </c>
      <c r="C78" s="684"/>
      <c r="D78" s="684"/>
      <c r="E78" s="684"/>
      <c r="F78" s="684"/>
      <c r="G78" s="684"/>
      <c r="H78" s="684"/>
      <c r="I78" s="684"/>
      <c r="J78" s="684"/>
      <c r="K78" s="684"/>
      <c r="L78" s="684"/>
      <c r="M78" s="684"/>
      <c r="N78" s="685"/>
    </row>
    <row r="79" spans="1:15" ht="15.95" customHeight="1" x14ac:dyDescent="0.25">
      <c r="A79" s="121"/>
      <c r="B79" s="23"/>
      <c r="C79" s="24"/>
      <c r="D79" s="24"/>
      <c r="E79" s="24"/>
      <c r="F79" s="31"/>
      <c r="G79" s="87"/>
      <c r="H79" s="31"/>
      <c r="I79" s="31"/>
      <c r="J79" s="24"/>
      <c r="K79" s="24"/>
      <c r="L79" s="24"/>
      <c r="M79" s="24"/>
      <c r="N79" s="25"/>
    </row>
    <row r="80" spans="1:15" ht="15.95" customHeight="1" x14ac:dyDescent="0.25">
      <c r="A80" s="121"/>
      <c r="B80" s="23"/>
      <c r="C80" s="638" t="s">
        <v>37</v>
      </c>
      <c r="D80" s="639"/>
      <c r="E80" s="640"/>
      <c r="F80" s="31"/>
      <c r="G80" s="87"/>
      <c r="H80" s="641" t="s">
        <v>28</v>
      </c>
      <c r="I80" s="642"/>
      <c r="J80" s="39">
        <f>+$D$100-SUMIF($H$86:$H$96,"&lt;"&amp;$M$4,$K$86:$K$96)</f>
        <v>0</v>
      </c>
      <c r="K80" s="24"/>
      <c r="L80" s="24"/>
      <c r="M80" s="24"/>
      <c r="N80" s="25"/>
      <c r="O80" s="194" t="str">
        <f>+D84</f>
        <v>ON Pyme CNV Garantizada</v>
      </c>
    </row>
    <row r="81" spans="1:15" ht="15.95" customHeight="1" x14ac:dyDescent="0.25">
      <c r="A81" s="121"/>
      <c r="B81" s="23"/>
      <c r="C81" s="58"/>
      <c r="D81" s="664"/>
      <c r="E81" s="665"/>
      <c r="F81" s="31"/>
      <c r="G81" s="87"/>
      <c r="H81" s="645" t="s">
        <v>29</v>
      </c>
      <c r="I81" s="646"/>
      <c r="J81" s="40">
        <f>+$D$99</f>
        <v>44492</v>
      </c>
      <c r="K81" s="24"/>
      <c r="L81" s="24"/>
      <c r="M81" s="24"/>
      <c r="N81" s="25"/>
    </row>
    <row r="82" spans="1:15" ht="15.95" customHeight="1" x14ac:dyDescent="0.25">
      <c r="A82" s="121"/>
      <c r="B82" s="23"/>
      <c r="C82" s="59" t="s">
        <v>25</v>
      </c>
      <c r="D82" s="681"/>
      <c r="E82" s="682"/>
      <c r="F82" s="31"/>
      <c r="G82" s="87"/>
      <c r="H82" s="649" t="s">
        <v>30</v>
      </c>
      <c r="I82" s="650"/>
      <c r="J82" s="42" t="str">
        <f t="array" ref="J82">+IF(H95&gt;=M4,MIN(IF($H$86:$H$96&gt;$M$4,$H$86:$H$96,"")),"vencida")</f>
        <v>vencida</v>
      </c>
      <c r="K82" s="24"/>
      <c r="L82" s="24"/>
      <c r="M82" s="24"/>
      <c r="N82" s="25"/>
      <c r="O82" s="194" t="str">
        <f>+IF(J82="vencida",IF(D84='Reporte - Oscuro'!$C$40,'Reporte - Oscuro'!$C$40&amp;" vencida",IF(D84='Reporte - Oscuro'!$C$41,'Reporte - Oscuro'!$C$41&amp;" vencida",IF(D84='Reporte - Oscuro'!$C$42,'Reporte - Oscuro'!$C$42&amp;" vencida",'Reporte - Oscuro'!$C$43&amp;" vencida"))),D84&amp;" vigente")</f>
        <v>ON Pyme CNV Garantizada vencida</v>
      </c>
    </row>
    <row r="83" spans="1:15" ht="15.95" customHeight="1" x14ac:dyDescent="0.25">
      <c r="A83" s="121"/>
      <c r="B83" s="23"/>
      <c r="C83" s="59" t="s">
        <v>6</v>
      </c>
      <c r="D83" s="681" t="s">
        <v>87</v>
      </c>
      <c r="E83" s="682"/>
      <c r="F83" s="31"/>
      <c r="G83" s="87"/>
      <c r="H83" s="24"/>
      <c r="I83" s="24"/>
      <c r="J83" s="24"/>
      <c r="K83" s="24"/>
      <c r="L83" s="24"/>
      <c r="M83" s="24"/>
      <c r="N83" s="25"/>
    </row>
    <row r="84" spans="1:15" ht="15.95" customHeight="1" x14ac:dyDescent="0.25">
      <c r="A84" s="121"/>
      <c r="B84" s="23"/>
      <c r="C84" s="59" t="s">
        <v>8</v>
      </c>
      <c r="D84" s="681" t="s">
        <v>17</v>
      </c>
      <c r="E84" s="682"/>
      <c r="F84" s="31"/>
      <c r="G84" s="87"/>
      <c r="H84" s="651" t="s">
        <v>41</v>
      </c>
      <c r="I84" s="652"/>
      <c r="J84" s="652"/>
      <c r="K84" s="652"/>
      <c r="L84" s="653"/>
      <c r="M84" s="24"/>
      <c r="N84" s="25"/>
    </row>
    <row r="85" spans="1:15" ht="15.95" customHeight="1" x14ac:dyDescent="0.25">
      <c r="A85" s="121"/>
      <c r="B85" s="23"/>
      <c r="C85" s="59" t="s">
        <v>33</v>
      </c>
      <c r="D85" s="132" t="s">
        <v>325</v>
      </c>
      <c r="E85" s="274">
        <v>1</v>
      </c>
      <c r="F85" s="281">
        <f>+E85*J80</f>
        <v>0</v>
      </c>
      <c r="G85" s="87"/>
      <c r="H85" s="126" t="s">
        <v>0</v>
      </c>
      <c r="I85" s="127" t="s">
        <v>2</v>
      </c>
      <c r="J85" s="127" t="s">
        <v>3</v>
      </c>
      <c r="K85" s="127" t="s">
        <v>4</v>
      </c>
      <c r="L85" s="128" t="s">
        <v>5</v>
      </c>
      <c r="M85" s="127" t="s">
        <v>44</v>
      </c>
      <c r="N85" s="25"/>
    </row>
    <row r="86" spans="1:15" ht="15.95" customHeight="1" x14ac:dyDescent="0.25">
      <c r="A86" s="121"/>
      <c r="B86" s="23"/>
      <c r="C86" s="59" t="s">
        <v>34</v>
      </c>
      <c r="D86" s="681" t="s">
        <v>35</v>
      </c>
      <c r="E86" s="682"/>
      <c r="F86" s="31"/>
      <c r="G86" s="87"/>
      <c r="H86" s="45"/>
      <c r="I86" s="46"/>
      <c r="J86" s="46"/>
      <c r="K86" s="46"/>
      <c r="L86" s="47"/>
      <c r="M86" s="23"/>
      <c r="N86" s="25"/>
    </row>
    <row r="87" spans="1:15" ht="15.95" customHeight="1" x14ac:dyDescent="0.25">
      <c r="A87" s="121"/>
      <c r="B87" s="23"/>
      <c r="C87" s="79" t="s">
        <v>38</v>
      </c>
      <c r="D87" s="130"/>
      <c r="E87" s="131"/>
      <c r="F87" s="31"/>
      <c r="G87" s="87"/>
      <c r="H87" s="48">
        <f>+$D$98</f>
        <v>43031</v>
      </c>
      <c r="I87" s="136"/>
      <c r="J87" s="49"/>
      <c r="K87" s="49"/>
      <c r="L87" s="50">
        <f>+D100</f>
        <v>300000</v>
      </c>
      <c r="M87" s="93">
        <f>-L87</f>
        <v>-300000</v>
      </c>
      <c r="N87" s="25"/>
      <c r="O87" s="97">
        <f>+M87</f>
        <v>-300000</v>
      </c>
    </row>
    <row r="88" spans="1:15" ht="15.95" customHeight="1" x14ac:dyDescent="0.25">
      <c r="A88" s="121"/>
      <c r="B88" s="23"/>
      <c r="C88" s="59"/>
      <c r="D88" s="132"/>
      <c r="E88" s="133"/>
      <c r="F88" s="31"/>
      <c r="G88" s="87"/>
      <c r="H88" s="51">
        <f>IF(DAY(H87)=DAY($H$87),IF(WEEKDAY(EDATE(H87,$D$101),3)&lt;5,EDATE(H87,$D$101),WORKDAY(EDATE(H87,$D$101),1)),IF(WEEKDAY(EDATE($H$87,$D$101*COUNT($H$87:H87)),3)&lt;5,EDATE($H$87,$D$101*COUNT($H$87:H87)),WORKDAY(EDATE($H$87,$D$101*COUNT($H$87:H87)),1)))</f>
        <v>43213</v>
      </c>
      <c r="I88" s="137" t="s">
        <v>88</v>
      </c>
      <c r="J88" s="52">
        <f>+(($D$104/365)*(H88-H87))*L87</f>
        <v>8601.3698630136987</v>
      </c>
      <c r="K88" s="52">
        <f>+IF(OR(I88="A + C",I88="A"),$L$87*$D$105,0)</f>
        <v>0</v>
      </c>
      <c r="L88" s="53">
        <f t="shared" ref="L88:L95" si="0">+L87-K88</f>
        <v>300000</v>
      </c>
      <c r="M88" s="94">
        <f t="shared" ref="M88:M95" si="1">+J88+K88</f>
        <v>8601.3698630136987</v>
      </c>
      <c r="N88" s="25"/>
      <c r="O88" s="97">
        <f t="shared" ref="O88:O95" si="2">+M88+O87</f>
        <v>-291398.63013698632</v>
      </c>
    </row>
    <row r="89" spans="1:15" ht="15.95" customHeight="1" x14ac:dyDescent="0.25">
      <c r="A89" s="121"/>
      <c r="B89" s="23"/>
      <c r="C89" s="60"/>
      <c r="D89" s="134"/>
      <c r="E89" s="135"/>
      <c r="F89" s="34"/>
      <c r="G89" s="88"/>
      <c r="H89" s="51">
        <f>IF(DAY(H88)=DAY($H$87),IF(WEEKDAY(EDATE(H88,$D$102),3)&lt;5,EDATE(H88,$D$102),WORKDAY(EDATE(H88,$D$102),1)),IF(WEEKDAY(EDATE($H$87,$D$102*COUNT($H$87:H88)),3)&lt;5,EDATE($H$87,$D$102*COUNT($H$87:H88)),WORKDAY(EDATE($H$87,$D$102*COUNT($H$87:H88)),1)))</f>
        <v>43396</v>
      </c>
      <c r="I89" s="137" t="s">
        <v>7</v>
      </c>
      <c r="J89" s="52">
        <f t="shared" ref="J89:J95" si="3">+(($D$104/365)*(H89-H88))*L88</f>
        <v>8648.6301369863013</v>
      </c>
      <c r="K89" s="52">
        <f t="shared" ref="K89:K95" si="4">+IF(OR(I89="A + C",I89="A"),$D$100*$D$105,0)</f>
        <v>0</v>
      </c>
      <c r="L89" s="53">
        <f t="shared" si="0"/>
        <v>300000</v>
      </c>
      <c r="M89" s="94">
        <f t="shared" si="1"/>
        <v>8648.6301369863013</v>
      </c>
      <c r="N89" s="25"/>
      <c r="O89" s="97">
        <f t="shared" si="2"/>
        <v>-282750</v>
      </c>
    </row>
    <row r="90" spans="1:15" ht="15.95" customHeight="1" x14ac:dyDescent="0.25">
      <c r="A90" s="121"/>
      <c r="B90" s="23"/>
      <c r="C90" s="60"/>
      <c r="D90" s="55" t="str">
        <f>B78</f>
        <v>Agroempresa Colon II</v>
      </c>
      <c r="E90" s="64"/>
      <c r="F90" s="34"/>
      <c r="G90" s="88">
        <f>J80</f>
        <v>0</v>
      </c>
      <c r="H90" s="51">
        <f>IF(DAY(H89)=DAY($H$87),IF(WEEKDAY(EDATE(H89,$D$102),3)&lt;5,EDATE(H89,$D$102),WORKDAY(EDATE(H89,$D$102),1)),IF(WEEKDAY(EDATE($H$87,$D$102*COUNT($H$87:H89)),3)&lt;5,EDATE($H$87,$D$102*COUNT($H$87:H89)),WORKDAY(EDATE($H$87,$D$102*COUNT($H$87:H89)),1)))</f>
        <v>43578</v>
      </c>
      <c r="I90" s="137" t="s">
        <v>7</v>
      </c>
      <c r="J90" s="52">
        <f t="shared" si="3"/>
        <v>8601.3698630136987</v>
      </c>
      <c r="K90" s="52">
        <f t="shared" si="4"/>
        <v>0</v>
      </c>
      <c r="L90" s="53">
        <f t="shared" si="0"/>
        <v>300000</v>
      </c>
      <c r="M90" s="94">
        <f t="shared" si="1"/>
        <v>8601.3698630136987</v>
      </c>
      <c r="N90" s="25"/>
      <c r="O90" s="97">
        <f t="shared" si="2"/>
        <v>-274148.63013698632</v>
      </c>
    </row>
    <row r="91" spans="1:15" ht="15.95" customHeight="1" x14ac:dyDescent="0.25">
      <c r="A91" s="121"/>
      <c r="B91" s="32"/>
      <c r="D91" s="644"/>
      <c r="E91" s="660"/>
      <c r="F91" s="34"/>
      <c r="G91" s="88"/>
      <c r="H91" s="51">
        <f>IF(DAY(H90)=DAY($H$87),IF(WEEKDAY(EDATE(H90,$D$102),3)&lt;5,EDATE(H90,$D$102),WORKDAY(EDATE(H90,$D$102),1)),IF(WEEKDAY(EDATE($H$87,$D$102*COUNT($H$87:H90)),3)&lt;5,EDATE($H$87,$D$102*COUNT($H$87:H90)),WORKDAY(EDATE($H$87,$D$102*COUNT($H$87:H90)),1)))</f>
        <v>43761</v>
      </c>
      <c r="I91" s="137" t="s">
        <v>7</v>
      </c>
      <c r="J91" s="52">
        <f t="shared" si="3"/>
        <v>8648.6301369863013</v>
      </c>
      <c r="K91" s="52">
        <f t="shared" si="4"/>
        <v>0</v>
      </c>
      <c r="L91" s="53">
        <f t="shared" si="0"/>
        <v>300000</v>
      </c>
      <c r="M91" s="94">
        <f t="shared" si="1"/>
        <v>8648.6301369863013</v>
      </c>
      <c r="N91" s="25"/>
      <c r="O91" s="97">
        <f t="shared" si="2"/>
        <v>-265500</v>
      </c>
    </row>
    <row r="92" spans="1:15" ht="15.95" customHeight="1" x14ac:dyDescent="0.25">
      <c r="A92" s="121"/>
      <c r="B92" s="23"/>
      <c r="C92" s="638" t="s">
        <v>36</v>
      </c>
      <c r="D92" s="640"/>
      <c r="E92" s="36"/>
      <c r="F92" s="34"/>
      <c r="G92" s="89"/>
      <c r="H92" s="51">
        <f>IF(DAY(H91)=DAY($H$87),IF(WEEKDAY(EDATE(H91,$D$102),3)&lt;5,EDATE(H91,$D$102),WORKDAY(EDATE(H91,$D$102),1)),IF(WEEKDAY(EDATE($H$87,$D$102*COUNT($H$87:H91)),3)&lt;5,EDATE($H$87,$D$102*COUNT($H$87:H91)),WORKDAY(EDATE($H$87,$D$102*COUNT($H$87:H91)),1)))</f>
        <v>43944</v>
      </c>
      <c r="I92" s="137" t="s">
        <v>7</v>
      </c>
      <c r="J92" s="52">
        <f t="shared" si="3"/>
        <v>8648.6301369863013</v>
      </c>
      <c r="K92" s="52">
        <f t="shared" si="4"/>
        <v>0</v>
      </c>
      <c r="L92" s="53">
        <f t="shared" si="0"/>
        <v>300000</v>
      </c>
      <c r="M92" s="94">
        <f t="shared" si="1"/>
        <v>8648.6301369863013</v>
      </c>
      <c r="N92" s="25"/>
      <c r="O92" s="97">
        <f t="shared" si="2"/>
        <v>-256851.36986301371</v>
      </c>
    </row>
    <row r="93" spans="1:15" ht="15.95" customHeight="1" x14ac:dyDescent="0.25">
      <c r="A93" s="121"/>
      <c r="B93" s="23"/>
      <c r="C93" s="59"/>
      <c r="D93" s="62"/>
      <c r="E93" s="36"/>
      <c r="F93" s="36"/>
      <c r="G93" s="89"/>
      <c r="H93" s="51">
        <f>IF(DAY(H92)=DAY($H$87),IF(WEEKDAY(EDATE(H92,$D$102),3)&lt;5,EDATE(H92,$D$102),WORKDAY(EDATE(H92,$D$102),1)),IF(WEEKDAY(EDATE($H$87,$D$102*COUNT($H$87:H92)),3)&lt;5,EDATE($H$87,$D$102*COUNT($H$87:H92)),WORKDAY(EDATE($H$87,$D$102*COUNT($H$87:H92)),1)))</f>
        <v>44127</v>
      </c>
      <c r="I93" s="137" t="s">
        <v>7</v>
      </c>
      <c r="J93" s="52">
        <f t="shared" si="3"/>
        <v>8648.6301369863013</v>
      </c>
      <c r="K93" s="52">
        <f t="shared" si="4"/>
        <v>0</v>
      </c>
      <c r="L93" s="53">
        <f t="shared" si="0"/>
        <v>300000</v>
      </c>
      <c r="M93" s="94">
        <f t="shared" si="1"/>
        <v>8648.6301369863013</v>
      </c>
      <c r="N93" s="25"/>
      <c r="O93" s="97">
        <f t="shared" si="2"/>
        <v>-248202.73972602742</v>
      </c>
    </row>
    <row r="94" spans="1:15" ht="15.95" customHeight="1" x14ac:dyDescent="0.25">
      <c r="A94" s="121"/>
      <c r="B94" s="23"/>
      <c r="C94" s="59" t="s">
        <v>9</v>
      </c>
      <c r="D94" s="129" t="s">
        <v>49</v>
      </c>
      <c r="E94" s="36"/>
      <c r="F94" s="36"/>
      <c r="G94" s="89"/>
      <c r="H94" s="51">
        <f>IF(DAY(H93)=DAY($H$87),IF(WEEKDAY(EDATE(H93,$D$102),3)&lt;5,EDATE(H93,$D$102),WORKDAY(EDATE(H93,$D$102),1)),IF(WEEKDAY(EDATE($H$87,$D$102*COUNT($H$87:H93)),3)&lt;5,EDATE($H$87,$D$102*COUNT($H$87:H93)),WORKDAY(EDATE($H$87,$D$102*COUNT($H$87:H93)),1)))</f>
        <v>44309</v>
      </c>
      <c r="I94" s="137" t="s">
        <v>7</v>
      </c>
      <c r="J94" s="52">
        <f t="shared" si="3"/>
        <v>8601.3698630136987</v>
      </c>
      <c r="K94" s="52">
        <f t="shared" si="4"/>
        <v>0</v>
      </c>
      <c r="L94" s="53">
        <f t="shared" si="0"/>
        <v>300000</v>
      </c>
      <c r="M94" s="94">
        <f t="shared" si="1"/>
        <v>8601.3698630136987</v>
      </c>
      <c r="N94" s="25"/>
      <c r="O94" s="97">
        <f t="shared" si="2"/>
        <v>-239601.36986301371</v>
      </c>
    </row>
    <row r="95" spans="1:15" ht="15.95" customHeight="1" x14ac:dyDescent="0.25">
      <c r="A95" s="121"/>
      <c r="B95" s="23"/>
      <c r="C95" s="59" t="s">
        <v>51</v>
      </c>
      <c r="D95" s="138" t="s">
        <v>49</v>
      </c>
      <c r="E95" s="36"/>
      <c r="F95" s="36"/>
      <c r="G95" s="89"/>
      <c r="H95" s="51">
        <v>44492</v>
      </c>
      <c r="I95" s="137" t="s">
        <v>13</v>
      </c>
      <c r="J95" s="52">
        <f t="shared" si="3"/>
        <v>8648.6301369863013</v>
      </c>
      <c r="K95" s="52">
        <f t="shared" si="4"/>
        <v>300000</v>
      </c>
      <c r="L95" s="53">
        <f t="shared" si="0"/>
        <v>0</v>
      </c>
      <c r="M95" s="94">
        <f t="shared" si="1"/>
        <v>308648.63013698632</v>
      </c>
      <c r="N95" s="25"/>
      <c r="O95" s="97">
        <f t="shared" si="2"/>
        <v>69047.260273972614</v>
      </c>
    </row>
    <row r="96" spans="1:15" ht="15.95" customHeight="1" x14ac:dyDescent="0.25">
      <c r="A96" s="121"/>
      <c r="B96" s="23"/>
      <c r="C96" s="59" t="s">
        <v>52</v>
      </c>
      <c r="D96" s="138" t="s">
        <v>49</v>
      </c>
      <c r="E96" s="36"/>
      <c r="F96" s="36"/>
      <c r="G96" s="89"/>
      <c r="H96" s="54"/>
      <c r="I96" s="144"/>
      <c r="J96" s="55"/>
      <c r="K96" s="56"/>
      <c r="L96" s="57"/>
      <c r="M96" s="109"/>
      <c r="N96" s="25"/>
    </row>
    <row r="97" spans="1:14" ht="15.95" customHeight="1" x14ac:dyDescent="0.25">
      <c r="A97" s="121"/>
      <c r="B97" s="23"/>
      <c r="C97" s="59" t="s">
        <v>10</v>
      </c>
      <c r="D97" s="139">
        <v>43027</v>
      </c>
      <c r="E97" s="36"/>
      <c r="F97" s="36"/>
      <c r="G97" s="89"/>
      <c r="H97" s="24"/>
      <c r="I97" s="24"/>
      <c r="J97" s="24"/>
      <c r="K97" s="24"/>
      <c r="L97" s="24"/>
      <c r="M97" s="24"/>
      <c r="N97" s="25"/>
    </row>
    <row r="98" spans="1:14" ht="15.95" customHeight="1" x14ac:dyDescent="0.25">
      <c r="A98" s="121"/>
      <c r="B98" s="23"/>
      <c r="C98" s="59" t="s">
        <v>11</v>
      </c>
      <c r="D98" s="139">
        <v>43031</v>
      </c>
      <c r="E98" s="41"/>
      <c r="F98" s="24"/>
      <c r="G98" s="89"/>
      <c r="H98" s="680" t="s">
        <v>43</v>
      </c>
      <c r="I98" s="680"/>
      <c r="J98" s="92">
        <v>0</v>
      </c>
      <c r="K98" s="92"/>
      <c r="L98" s="24"/>
      <c r="M98" s="24"/>
      <c r="N98" s="25"/>
    </row>
    <row r="99" spans="1:14" ht="15.95" customHeight="1" x14ac:dyDescent="0.25">
      <c r="A99" s="121"/>
      <c r="B99" s="23"/>
      <c r="C99" s="59" t="s">
        <v>12</v>
      </c>
      <c r="D99" s="139">
        <v>44492</v>
      </c>
      <c r="E99" s="36"/>
      <c r="F99" s="24"/>
      <c r="G99" s="89"/>
      <c r="H99" s="657"/>
      <c r="I99" s="657"/>
      <c r="J99" s="392"/>
      <c r="K99" s="24"/>
      <c r="L99" s="33"/>
      <c r="M99" s="33"/>
      <c r="N99" s="25"/>
    </row>
    <row r="100" spans="1:14" ht="15.95" customHeight="1" x14ac:dyDescent="0.25">
      <c r="A100" s="121"/>
      <c r="B100" s="23"/>
      <c r="C100" s="59" t="s">
        <v>27</v>
      </c>
      <c r="D100" s="140">
        <v>300000</v>
      </c>
      <c r="E100" s="43"/>
      <c r="F100" s="24"/>
      <c r="G100" s="90"/>
      <c r="H100" s="24"/>
      <c r="I100" s="24"/>
      <c r="J100" s="24"/>
      <c r="K100" s="24"/>
      <c r="L100" s="24"/>
      <c r="M100" s="24"/>
      <c r="N100" s="25"/>
    </row>
    <row r="101" spans="1:14" ht="15.95" customHeight="1" x14ac:dyDescent="0.25">
      <c r="A101" s="121"/>
      <c r="B101" s="23"/>
      <c r="C101" s="59" t="s">
        <v>65</v>
      </c>
      <c r="D101" s="140">
        <v>6</v>
      </c>
      <c r="E101" s="43"/>
      <c r="F101" s="24"/>
      <c r="G101" s="90"/>
      <c r="H101" s="638" t="s">
        <v>44</v>
      </c>
      <c r="I101" s="639"/>
      <c r="J101" s="639"/>
      <c r="K101" s="639"/>
      <c r="L101" s="639"/>
      <c r="M101" s="640"/>
      <c r="N101" s="25"/>
    </row>
    <row r="102" spans="1:14" ht="15.95" customHeight="1" x14ac:dyDescent="0.25">
      <c r="A102" s="121"/>
      <c r="B102" s="23"/>
      <c r="C102" s="59" t="s">
        <v>26</v>
      </c>
      <c r="D102" s="140">
        <v>6</v>
      </c>
      <c r="E102" s="43"/>
      <c r="F102" s="24"/>
      <c r="G102" s="90"/>
      <c r="H102" s="23"/>
      <c r="I102" s="24"/>
      <c r="J102" s="24"/>
      <c r="K102" s="24"/>
      <c r="L102" s="24"/>
      <c r="M102" s="25"/>
      <c r="N102" s="25"/>
    </row>
    <row r="103" spans="1:14" ht="15.95" customHeight="1" x14ac:dyDescent="0.25">
      <c r="A103" s="121"/>
      <c r="B103" s="23"/>
      <c r="C103" s="59" t="s">
        <v>19</v>
      </c>
      <c r="D103" s="141" t="s">
        <v>50</v>
      </c>
      <c r="E103" s="43"/>
      <c r="F103" s="24"/>
      <c r="G103" s="90"/>
      <c r="H103" s="23"/>
      <c r="I103" s="24"/>
      <c r="J103" s="24"/>
      <c r="K103" s="24"/>
      <c r="L103" s="24"/>
      <c r="M103" s="25"/>
      <c r="N103" s="25"/>
    </row>
    <row r="104" spans="1:14" ht="15.95" customHeight="1" x14ac:dyDescent="0.25">
      <c r="A104" s="121"/>
      <c r="B104" s="23"/>
      <c r="C104" s="59" t="s">
        <v>14</v>
      </c>
      <c r="D104" s="142">
        <v>5.7500000000000002E-2</v>
      </c>
      <c r="E104" s="44"/>
      <c r="F104" s="24"/>
      <c r="G104" s="90"/>
      <c r="H104" s="96"/>
      <c r="I104" s="35"/>
      <c r="J104" s="24"/>
      <c r="K104" s="24"/>
      <c r="L104" s="24"/>
      <c r="M104" s="25"/>
      <c r="N104" s="25"/>
    </row>
    <row r="105" spans="1:14" ht="15.95" customHeight="1" x14ac:dyDescent="0.25">
      <c r="A105" s="121"/>
      <c r="B105" s="23"/>
      <c r="C105" s="59" t="s">
        <v>55</v>
      </c>
      <c r="D105" s="143">
        <v>1</v>
      </c>
      <c r="E105" s="24"/>
      <c r="F105" s="24"/>
      <c r="G105" s="90"/>
      <c r="H105" s="23"/>
      <c r="I105" s="24"/>
      <c r="J105" s="24"/>
      <c r="K105" s="24"/>
      <c r="L105" s="24"/>
      <c r="M105" s="25"/>
      <c r="N105" s="25"/>
    </row>
    <row r="106" spans="1:14" ht="15.95" customHeight="1" x14ac:dyDescent="0.25">
      <c r="A106" s="121"/>
      <c r="B106" s="23"/>
      <c r="C106" s="63"/>
      <c r="D106" s="145"/>
      <c r="E106" s="24"/>
      <c r="F106" s="24"/>
      <c r="G106" s="90"/>
      <c r="H106" s="23"/>
      <c r="I106" s="24"/>
      <c r="J106" s="24"/>
      <c r="K106" s="24"/>
      <c r="L106" s="24"/>
      <c r="M106" s="25"/>
      <c r="N106" s="25"/>
    </row>
    <row r="107" spans="1:14" ht="15.95" customHeight="1" x14ac:dyDescent="0.25">
      <c r="A107" s="121"/>
      <c r="B107" s="23"/>
      <c r="C107" s="24"/>
      <c r="D107" s="24"/>
      <c r="E107" s="24"/>
      <c r="F107" s="24"/>
      <c r="G107" s="90"/>
      <c r="H107" s="23"/>
      <c r="I107" s="24"/>
      <c r="J107" s="24"/>
      <c r="K107" s="24"/>
      <c r="L107" s="24"/>
      <c r="M107" s="25"/>
      <c r="N107" s="25"/>
    </row>
    <row r="108" spans="1:14" ht="15.95" customHeight="1" x14ac:dyDescent="0.25">
      <c r="A108" s="121"/>
      <c r="B108" s="23"/>
      <c r="C108" s="24"/>
      <c r="D108" s="24"/>
      <c r="E108" s="24"/>
      <c r="F108" s="24"/>
      <c r="G108" s="90"/>
      <c r="H108" s="23"/>
      <c r="I108" s="24"/>
      <c r="J108" s="24"/>
      <c r="K108" s="24"/>
      <c r="L108" s="24"/>
      <c r="M108" s="25"/>
      <c r="N108" s="25"/>
    </row>
    <row r="109" spans="1:14" ht="15.95" customHeight="1" x14ac:dyDescent="0.25">
      <c r="A109" s="121"/>
      <c r="B109" s="23"/>
      <c r="C109" s="24"/>
      <c r="D109" s="24"/>
      <c r="E109" s="24"/>
      <c r="F109" s="24"/>
      <c r="G109" s="90"/>
      <c r="H109" s="23"/>
      <c r="I109" s="24"/>
      <c r="J109" s="24"/>
      <c r="K109" s="24"/>
      <c r="L109" s="24"/>
      <c r="M109" s="25"/>
      <c r="N109" s="25"/>
    </row>
    <row r="110" spans="1:14" ht="15.95" customHeight="1" x14ac:dyDescent="0.25">
      <c r="A110" s="121"/>
      <c r="B110" s="23"/>
      <c r="C110" s="24"/>
      <c r="D110" s="24"/>
      <c r="E110" s="24"/>
      <c r="F110" s="24"/>
      <c r="G110" s="90"/>
      <c r="H110" s="23"/>
      <c r="I110" s="24"/>
      <c r="J110" s="24"/>
      <c r="K110" s="24"/>
      <c r="L110" s="24"/>
      <c r="M110" s="25"/>
      <c r="N110" s="25"/>
    </row>
    <row r="111" spans="1:14" ht="15.95" customHeight="1" x14ac:dyDescent="0.25">
      <c r="A111" s="121"/>
      <c r="B111" s="23"/>
      <c r="C111" s="24"/>
      <c r="D111" s="24"/>
      <c r="E111" s="24"/>
      <c r="F111" s="24"/>
      <c r="G111" s="90"/>
      <c r="H111" s="23"/>
      <c r="I111" s="24"/>
      <c r="J111" s="24"/>
      <c r="K111" s="24"/>
      <c r="L111" s="24"/>
      <c r="M111" s="25"/>
      <c r="N111" s="25"/>
    </row>
    <row r="112" spans="1:14" ht="15.95" customHeight="1" x14ac:dyDescent="0.25">
      <c r="A112" s="121"/>
      <c r="B112" s="23"/>
      <c r="C112" s="24"/>
      <c r="D112" s="24"/>
      <c r="E112" s="24"/>
      <c r="F112" s="24"/>
      <c r="G112" s="90"/>
      <c r="H112" s="23"/>
      <c r="I112" s="24"/>
      <c r="J112" s="24"/>
      <c r="K112" s="24"/>
      <c r="L112" s="24"/>
      <c r="M112" s="25"/>
      <c r="N112" s="25"/>
    </row>
    <row r="113" spans="1:16" ht="15.95" customHeight="1" x14ac:dyDescent="0.25">
      <c r="A113" s="121"/>
      <c r="B113" s="23"/>
      <c r="C113" s="24"/>
      <c r="D113" s="24"/>
      <c r="E113" s="24"/>
      <c r="F113" s="24"/>
      <c r="G113" s="90"/>
      <c r="H113" s="26"/>
      <c r="I113" s="27"/>
      <c r="J113" s="27"/>
      <c r="K113" s="27"/>
      <c r="L113" s="27"/>
      <c r="M113" s="28"/>
      <c r="N113" s="25"/>
    </row>
    <row r="114" spans="1:16" ht="15.95" customHeight="1" x14ac:dyDescent="0.25">
      <c r="A114" s="121"/>
      <c r="B114" s="26"/>
      <c r="C114" s="85"/>
      <c r="D114" s="27"/>
      <c r="E114" s="27"/>
      <c r="F114" s="27"/>
      <c r="G114" s="91"/>
      <c r="H114" s="27"/>
      <c r="I114" s="27"/>
      <c r="J114" s="27"/>
      <c r="K114" s="27"/>
      <c r="L114" s="27"/>
      <c r="M114" s="27"/>
      <c r="N114" s="28"/>
    </row>
    <row r="115" spans="1:16" ht="15.95" customHeight="1" x14ac:dyDescent="0.25">
      <c r="A115" s="121"/>
      <c r="B115" s="683" t="s">
        <v>383</v>
      </c>
      <c r="C115" s="684"/>
      <c r="D115" s="684"/>
      <c r="E115" s="684"/>
      <c r="F115" s="684"/>
      <c r="G115" s="684"/>
      <c r="H115" s="684"/>
      <c r="I115" s="684"/>
      <c r="J115" s="684"/>
      <c r="K115" s="684"/>
      <c r="L115" s="684"/>
      <c r="M115" s="684"/>
      <c r="N115" s="685"/>
    </row>
    <row r="116" spans="1:16" ht="15.95" customHeight="1" x14ac:dyDescent="0.25">
      <c r="A116" s="121"/>
      <c r="B116" s="23"/>
      <c r="C116" s="24"/>
      <c r="D116" s="24"/>
      <c r="E116" s="24"/>
      <c r="F116" s="31"/>
      <c r="G116" s="87"/>
      <c r="H116" s="31"/>
      <c r="I116" s="31"/>
      <c r="J116" s="24"/>
      <c r="K116" s="24"/>
      <c r="L116" s="24"/>
      <c r="M116" s="24"/>
      <c r="N116" s="25"/>
    </row>
    <row r="117" spans="1:16" ht="20.100000000000001" customHeight="1" x14ac:dyDescent="0.25">
      <c r="A117" s="121"/>
      <c r="B117" s="23"/>
      <c r="C117" s="638" t="s">
        <v>37</v>
      </c>
      <c r="D117" s="639"/>
      <c r="E117" s="640"/>
      <c r="F117" s="31"/>
      <c r="G117" s="87"/>
      <c r="H117" s="641" t="s">
        <v>28</v>
      </c>
      <c r="I117" s="642"/>
      <c r="J117" s="39">
        <f>D137-SUMIF(H124:H129,"&lt;"&amp;$M$4,K124:K129)</f>
        <v>0</v>
      </c>
      <c r="K117" s="24"/>
      <c r="L117" s="24"/>
      <c r="M117" s="24"/>
      <c r="N117" s="25"/>
    </row>
    <row r="118" spans="1:16" ht="15.95" customHeight="1" x14ac:dyDescent="0.25">
      <c r="A118" s="121"/>
      <c r="B118" s="23"/>
      <c r="C118" s="58"/>
      <c r="D118" s="664"/>
      <c r="E118" s="665"/>
      <c r="F118" s="31"/>
      <c r="G118" s="87"/>
      <c r="H118" s="645" t="s">
        <v>29</v>
      </c>
      <c r="I118" s="646"/>
      <c r="J118" s="40">
        <f>D136</f>
        <v>45521</v>
      </c>
      <c r="K118" s="24"/>
      <c r="L118" s="24"/>
      <c r="M118" s="24"/>
      <c r="N118" s="25"/>
    </row>
    <row r="119" spans="1:16" ht="15.95" customHeight="1" x14ac:dyDescent="0.25">
      <c r="A119" s="121"/>
      <c r="B119" s="23"/>
      <c r="C119" s="59" t="s">
        <v>25</v>
      </c>
      <c r="D119" s="681"/>
      <c r="E119" s="682"/>
      <c r="F119" s="31"/>
      <c r="G119" s="87"/>
      <c r="H119" s="649" t="s">
        <v>30</v>
      </c>
      <c r="I119" s="650"/>
      <c r="J119" s="42" t="s">
        <v>357</v>
      </c>
      <c r="K119" s="24"/>
      <c r="L119" s="24"/>
      <c r="M119" s="24"/>
      <c r="N119" s="25"/>
      <c r="O119" s="194" t="str">
        <f>+D123</f>
        <v>i</v>
      </c>
    </row>
    <row r="120" spans="1:16" ht="15.95" customHeight="1" x14ac:dyDescent="0.25">
      <c r="A120" s="121"/>
      <c r="B120" s="23"/>
      <c r="C120" s="59" t="s">
        <v>6</v>
      </c>
      <c r="D120" s="681" t="s">
        <v>384</v>
      </c>
      <c r="E120" s="682"/>
      <c r="F120" s="31"/>
      <c r="G120" s="87"/>
      <c r="H120" s="24"/>
      <c r="I120" s="24"/>
      <c r="J120" s="24"/>
      <c r="K120" s="24"/>
      <c r="L120" s="24"/>
      <c r="M120" s="24"/>
      <c r="N120" s="25"/>
    </row>
    <row r="121" spans="1:16" ht="15.95" customHeight="1" x14ac:dyDescent="0.25">
      <c r="A121" s="121"/>
      <c r="B121" s="23"/>
      <c r="C121" s="59" t="s">
        <v>8</v>
      </c>
      <c r="D121" s="681" t="s">
        <v>17</v>
      </c>
      <c r="E121" s="682"/>
      <c r="F121" s="31"/>
      <c r="G121" s="87"/>
      <c r="H121" s="651" t="s">
        <v>41</v>
      </c>
      <c r="I121" s="652"/>
      <c r="J121" s="652"/>
      <c r="K121" s="652"/>
      <c r="L121" s="653"/>
      <c r="M121" s="24"/>
      <c r="N121" s="25"/>
      <c r="O121" s="194" t="str">
        <f>+IF(J121="vencida",IF(D123='Reporte - Oscuro'!$C$40,'Reporte - Oscuro'!$C$40&amp;" vencida",IF(D123='Reporte - Oscuro'!$C$41,'Reporte - Oscuro'!$C$41&amp;" vencida",IF(D123='Reporte - Oscuro'!$C$42,'Reporte - Oscuro'!$C$42&amp;" vencida",'Reporte - Oscuro'!$C$43&amp;" vencida"))),D123&amp;" vigente")</f>
        <v>i vigente</v>
      </c>
    </row>
    <row r="122" spans="1:16" ht="15.95" customHeight="1" x14ac:dyDescent="0.25">
      <c r="A122" s="121"/>
      <c r="B122" s="23"/>
      <c r="C122" s="59" t="s">
        <v>33</v>
      </c>
      <c r="D122" s="132" t="s">
        <v>308</v>
      </c>
      <c r="E122" s="274">
        <v>1</v>
      </c>
      <c r="F122" s="281">
        <f>+E122*J117</f>
        <v>0</v>
      </c>
      <c r="G122" s="87"/>
      <c r="H122" s="126" t="s">
        <v>0</v>
      </c>
      <c r="I122" s="127" t="s">
        <v>2</v>
      </c>
      <c r="J122" s="127" t="s">
        <v>3</v>
      </c>
      <c r="K122" s="127" t="s">
        <v>4</v>
      </c>
      <c r="L122" s="128" t="s">
        <v>5</v>
      </c>
      <c r="M122" s="127" t="s">
        <v>44</v>
      </c>
      <c r="N122" s="25"/>
    </row>
    <row r="123" spans="1:16" ht="15.95" customHeight="1" x14ac:dyDescent="0.25">
      <c r="A123" s="121"/>
      <c r="B123" s="23"/>
      <c r="C123" s="59" t="s">
        <v>34</v>
      </c>
      <c r="D123" s="681" t="s">
        <v>385</v>
      </c>
      <c r="E123" s="682"/>
      <c r="F123" s="31"/>
      <c r="G123" s="87"/>
      <c r="H123" s="45"/>
      <c r="I123" s="46"/>
      <c r="J123" s="46"/>
      <c r="K123" s="46"/>
      <c r="L123" s="47"/>
      <c r="M123" s="23"/>
      <c r="N123" s="25"/>
    </row>
    <row r="124" spans="1:16" ht="15.95" customHeight="1" x14ac:dyDescent="0.25">
      <c r="A124" s="121"/>
      <c r="B124" s="23"/>
      <c r="C124" s="79" t="s">
        <v>38</v>
      </c>
      <c r="D124" s="130"/>
      <c r="E124" s="131"/>
      <c r="F124" s="31"/>
      <c r="G124" s="87"/>
      <c r="H124" s="48">
        <f>D135</f>
        <v>44790</v>
      </c>
      <c r="I124" s="46"/>
      <c r="J124" s="49"/>
      <c r="K124" s="49"/>
      <c r="L124" s="50">
        <f>+D137</f>
        <v>600000</v>
      </c>
      <c r="M124" s="93">
        <f>-L124</f>
        <v>-600000</v>
      </c>
      <c r="N124" s="25"/>
    </row>
    <row r="125" spans="1:16" ht="15.95" customHeight="1" x14ac:dyDescent="0.25">
      <c r="A125" s="121"/>
      <c r="B125" s="23"/>
      <c r="C125" s="59"/>
      <c r="D125" s="132"/>
      <c r="E125" s="133"/>
      <c r="F125" s="31"/>
      <c r="G125" s="87"/>
      <c r="H125" s="51">
        <v>44974</v>
      </c>
      <c r="I125" s="415" t="s">
        <v>13</v>
      </c>
      <c r="J125" s="52">
        <f>+((D141/365)*(H125-H124))*L124</f>
        <v>0</v>
      </c>
      <c r="K125" s="52">
        <f>$L$124*$D$142</f>
        <v>150000</v>
      </c>
      <c r="L125" s="53">
        <f t="shared" ref="L125:L128" si="5">+L124-K125</f>
        <v>450000</v>
      </c>
      <c r="M125" s="94">
        <f t="shared" ref="M125:M128" si="6">+J125+K125</f>
        <v>150000</v>
      </c>
      <c r="N125" s="25"/>
      <c r="P125" s="29"/>
    </row>
    <row r="126" spans="1:16" ht="15.95" customHeight="1" x14ac:dyDescent="0.25">
      <c r="A126" s="121"/>
      <c r="B126" s="23"/>
      <c r="C126" s="60"/>
      <c r="D126" s="134"/>
      <c r="E126" s="135"/>
      <c r="F126" s="34"/>
      <c r="G126" s="88"/>
      <c r="H126" s="51">
        <v>45155</v>
      </c>
      <c r="I126" s="415" t="s">
        <v>13</v>
      </c>
      <c r="J126" s="52">
        <f>+((D141/365)*(H126-H125))*L125</f>
        <v>0</v>
      </c>
      <c r="K126" s="52">
        <f t="shared" ref="K126:K128" si="7">$L$124*$D$142</f>
        <v>150000</v>
      </c>
      <c r="L126" s="53">
        <f t="shared" si="5"/>
        <v>300000</v>
      </c>
      <c r="M126" s="94">
        <f t="shared" si="6"/>
        <v>150000</v>
      </c>
      <c r="N126" s="25"/>
      <c r="O126" s="97">
        <f>+M126</f>
        <v>150000</v>
      </c>
      <c r="P126" s="29"/>
    </row>
    <row r="127" spans="1:16" ht="15.95" customHeight="1" x14ac:dyDescent="0.25">
      <c r="A127" s="121"/>
      <c r="B127" s="23"/>
      <c r="C127" s="60"/>
      <c r="D127" s="55" t="str">
        <f>B115</f>
        <v>Agronorte I</v>
      </c>
      <c r="E127" s="64"/>
      <c r="F127" s="34"/>
      <c r="G127" s="88">
        <f>J117</f>
        <v>0</v>
      </c>
      <c r="H127" s="51">
        <v>45339</v>
      </c>
      <c r="I127" s="415" t="s">
        <v>13</v>
      </c>
      <c r="J127" s="52">
        <f>+((D141/365)*(H127-H126))*L126</f>
        <v>0</v>
      </c>
      <c r="K127" s="52">
        <f t="shared" si="7"/>
        <v>150000</v>
      </c>
      <c r="L127" s="53">
        <f t="shared" si="5"/>
        <v>150000</v>
      </c>
      <c r="M127" s="94">
        <f t="shared" si="6"/>
        <v>150000</v>
      </c>
      <c r="N127" s="25"/>
      <c r="O127" s="97">
        <f>+M127+O126</f>
        <v>300000</v>
      </c>
      <c r="P127" s="29"/>
    </row>
    <row r="128" spans="1:16" ht="15.95" customHeight="1" x14ac:dyDescent="0.25">
      <c r="A128" s="121"/>
      <c r="B128" s="32"/>
      <c r="D128" s="644"/>
      <c r="E128" s="660"/>
      <c r="F128" s="34"/>
      <c r="G128" s="88"/>
      <c r="H128" s="51">
        <v>45521</v>
      </c>
      <c r="I128" s="415" t="s">
        <v>13</v>
      </c>
      <c r="J128" s="52">
        <f>+((D141/365)*(H128-H127))*L127</f>
        <v>0</v>
      </c>
      <c r="K128" s="52">
        <f t="shared" si="7"/>
        <v>150000</v>
      </c>
      <c r="L128" s="53">
        <f t="shared" si="5"/>
        <v>0</v>
      </c>
      <c r="M128" s="94">
        <f t="shared" si="6"/>
        <v>150000</v>
      </c>
      <c r="N128" s="25"/>
      <c r="O128" s="97">
        <f>+M128+O127</f>
        <v>450000</v>
      </c>
      <c r="P128" s="29"/>
    </row>
    <row r="129" spans="1:16" ht="15.95" customHeight="1" x14ac:dyDescent="0.25">
      <c r="A129" s="121"/>
      <c r="B129" s="23"/>
      <c r="C129" s="638" t="s">
        <v>36</v>
      </c>
      <c r="D129" s="640"/>
      <c r="E129" s="36"/>
      <c r="F129" s="34"/>
      <c r="G129" s="89"/>
      <c r="H129" s="51"/>
      <c r="I129" s="415"/>
      <c r="J129" s="52"/>
      <c r="K129" s="52"/>
      <c r="L129" s="53"/>
      <c r="M129" s="94"/>
      <c r="N129" s="25"/>
      <c r="O129" s="97">
        <f>+M129+O128</f>
        <v>450000</v>
      </c>
      <c r="P129" s="29"/>
    </row>
    <row r="130" spans="1:16" ht="15.95" customHeight="1" x14ac:dyDescent="0.25">
      <c r="A130" s="121"/>
      <c r="B130" s="23"/>
      <c r="C130" s="59"/>
      <c r="D130" s="62"/>
      <c r="E130" s="36"/>
      <c r="F130" s="36"/>
      <c r="G130" s="89"/>
      <c r="H130" s="51"/>
      <c r="I130" s="415"/>
      <c r="J130" s="52"/>
      <c r="K130" s="52"/>
      <c r="L130" s="53"/>
      <c r="M130" s="94"/>
      <c r="N130" s="25"/>
      <c r="O130" s="97">
        <f>+M130+O129</f>
        <v>450000</v>
      </c>
      <c r="P130" s="29"/>
    </row>
    <row r="131" spans="1:16" ht="15.95" customHeight="1" x14ac:dyDescent="0.25">
      <c r="A131" s="121"/>
      <c r="B131" s="23"/>
      <c r="C131" s="59" t="s">
        <v>9</v>
      </c>
      <c r="D131" s="129" t="s">
        <v>49</v>
      </c>
      <c r="E131" s="36"/>
      <c r="F131" s="36"/>
      <c r="G131" s="89"/>
      <c r="H131" s="51"/>
      <c r="I131" s="415"/>
      <c r="J131" s="52"/>
      <c r="K131" s="52"/>
      <c r="L131" s="53"/>
      <c r="M131" s="94"/>
      <c r="N131" s="25"/>
      <c r="P131" s="29"/>
    </row>
    <row r="132" spans="1:16" ht="15.95" customHeight="1" x14ac:dyDescent="0.25">
      <c r="A132" s="121"/>
      <c r="B132" s="23"/>
      <c r="C132" s="59" t="s">
        <v>51</v>
      </c>
      <c r="D132" s="138" t="s">
        <v>235</v>
      </c>
      <c r="E132" s="36"/>
      <c r="F132" s="36"/>
      <c r="G132" s="89"/>
      <c r="H132" s="51"/>
      <c r="I132" s="415"/>
      <c r="J132" s="52"/>
      <c r="K132" s="52"/>
      <c r="L132" s="53"/>
      <c r="M132" s="94"/>
      <c r="N132" s="25"/>
      <c r="P132" s="29"/>
    </row>
    <row r="133" spans="1:16" ht="15.95" customHeight="1" x14ac:dyDescent="0.25">
      <c r="A133" s="121"/>
      <c r="B133" s="23"/>
      <c r="C133" s="59" t="s">
        <v>52</v>
      </c>
      <c r="D133" s="138" t="s">
        <v>49</v>
      </c>
      <c r="E133" s="36"/>
      <c r="F133" s="36"/>
      <c r="G133" s="89"/>
      <c r="H133" s="54"/>
      <c r="I133" s="61"/>
      <c r="J133" s="55"/>
      <c r="K133" s="56"/>
      <c r="L133" s="57"/>
      <c r="M133" s="109"/>
      <c r="N133" s="25"/>
      <c r="P133" s="29"/>
    </row>
    <row r="134" spans="1:16" ht="15.95" customHeight="1" x14ac:dyDescent="0.25">
      <c r="A134" s="121"/>
      <c r="B134" s="23"/>
      <c r="C134" s="59" t="s">
        <v>10</v>
      </c>
      <c r="D134" s="139">
        <v>44785</v>
      </c>
      <c r="E134" s="36"/>
      <c r="F134" s="36"/>
      <c r="G134" s="89"/>
      <c r="H134" s="24"/>
      <c r="I134" s="24"/>
      <c r="J134" s="24"/>
      <c r="K134" s="24"/>
      <c r="L134" s="24"/>
      <c r="M134" s="24"/>
      <c r="N134" s="25"/>
      <c r="P134" s="29"/>
    </row>
    <row r="135" spans="1:16" ht="15.95" customHeight="1" x14ac:dyDescent="0.25">
      <c r="A135" s="121"/>
      <c r="B135" s="23"/>
      <c r="C135" s="59" t="s">
        <v>11</v>
      </c>
      <c r="D135" s="139">
        <v>44790</v>
      </c>
      <c r="E135" s="41"/>
      <c r="F135" s="24"/>
      <c r="G135" s="89"/>
      <c r="H135" s="680" t="s">
        <v>43</v>
      </c>
      <c r="I135" s="680"/>
      <c r="J135" s="92">
        <f>J117</f>
        <v>0</v>
      </c>
      <c r="K135" s="92"/>
      <c r="L135" s="24"/>
      <c r="M135" s="24"/>
      <c r="N135" s="25"/>
      <c r="P135" s="29"/>
    </row>
    <row r="136" spans="1:16" ht="15.95" customHeight="1" x14ac:dyDescent="0.25">
      <c r="A136" s="121"/>
      <c r="B136" s="23"/>
      <c r="C136" s="59" t="s">
        <v>12</v>
      </c>
      <c r="D136" s="139">
        <v>45521</v>
      </c>
      <c r="E136" s="36"/>
      <c r="F136" s="24"/>
      <c r="G136" s="89"/>
      <c r="H136" s="657"/>
      <c r="I136" s="657"/>
      <c r="J136" s="392"/>
      <c r="K136" s="24"/>
      <c r="L136" s="33"/>
      <c r="M136" s="33"/>
      <c r="N136" s="25"/>
    </row>
    <row r="137" spans="1:16" ht="15.95" customHeight="1" x14ac:dyDescent="0.25">
      <c r="A137" s="121"/>
      <c r="B137" s="23"/>
      <c r="C137" s="59" t="s">
        <v>27</v>
      </c>
      <c r="D137" s="140">
        <v>600000</v>
      </c>
      <c r="E137" s="43"/>
      <c r="F137" s="24"/>
      <c r="G137" s="90"/>
      <c r="H137" s="24"/>
      <c r="I137" s="24"/>
      <c r="J137" s="24"/>
      <c r="K137" s="24"/>
      <c r="L137" s="24"/>
      <c r="M137" s="24"/>
      <c r="N137" s="25"/>
    </row>
    <row r="138" spans="1:16" ht="15.95" customHeight="1" x14ac:dyDescent="0.25">
      <c r="A138" s="121"/>
      <c r="B138" s="23"/>
      <c r="C138" s="59" t="s">
        <v>65</v>
      </c>
      <c r="D138" s="140">
        <v>6</v>
      </c>
      <c r="E138" s="43"/>
      <c r="F138" s="24"/>
      <c r="G138" s="90"/>
      <c r="H138" s="638" t="s">
        <v>44</v>
      </c>
      <c r="I138" s="639"/>
      <c r="J138" s="639"/>
      <c r="K138" s="639"/>
      <c r="L138" s="639"/>
      <c r="M138" s="640"/>
      <c r="N138" s="25"/>
    </row>
    <row r="139" spans="1:16" ht="15.95" customHeight="1" x14ac:dyDescent="0.25">
      <c r="A139" s="121"/>
      <c r="B139" s="23"/>
      <c r="C139" s="59" t="s">
        <v>26</v>
      </c>
      <c r="D139" s="140">
        <v>6</v>
      </c>
      <c r="E139" s="43"/>
      <c r="F139" s="24"/>
      <c r="G139" s="90"/>
      <c r="H139" s="23"/>
      <c r="I139" s="24"/>
      <c r="J139" s="24"/>
      <c r="K139" s="24"/>
      <c r="L139" s="24"/>
      <c r="M139" s="25"/>
      <c r="N139" s="25"/>
    </row>
    <row r="140" spans="1:16" ht="15.95" customHeight="1" x14ac:dyDescent="0.25">
      <c r="A140" s="121"/>
      <c r="B140" s="23"/>
      <c r="C140" s="59" t="s">
        <v>19</v>
      </c>
      <c r="D140" s="141" t="s">
        <v>50</v>
      </c>
      <c r="E140" s="43"/>
      <c r="F140" s="24"/>
      <c r="G140" s="90"/>
      <c r="H140" s="23"/>
      <c r="I140" s="24"/>
      <c r="J140" s="24"/>
      <c r="K140" s="24"/>
      <c r="L140" s="24"/>
      <c r="M140" s="25"/>
      <c r="N140" s="25"/>
    </row>
    <row r="141" spans="1:16" ht="15.95" customHeight="1" x14ac:dyDescent="0.25">
      <c r="A141" s="121"/>
      <c r="B141" s="23"/>
      <c r="C141" s="59" t="s">
        <v>14</v>
      </c>
      <c r="D141" s="142">
        <v>0</v>
      </c>
      <c r="E141" s="44"/>
      <c r="F141" s="24"/>
      <c r="G141" s="90"/>
      <c r="H141" s="96"/>
      <c r="I141" s="35"/>
      <c r="J141" s="24"/>
      <c r="K141" s="24"/>
      <c r="L141" s="24"/>
      <c r="M141" s="25"/>
      <c r="N141" s="25"/>
    </row>
    <row r="142" spans="1:16" ht="15.95" customHeight="1" x14ac:dyDescent="0.25">
      <c r="A142" s="121"/>
      <c r="B142" s="23"/>
      <c r="C142" s="59" t="s">
        <v>64</v>
      </c>
      <c r="D142" s="143">
        <v>0.25</v>
      </c>
      <c r="E142" s="24"/>
      <c r="F142" s="24"/>
      <c r="G142" s="90"/>
      <c r="H142" s="23"/>
      <c r="I142" s="24"/>
      <c r="J142" s="24"/>
      <c r="K142" s="24"/>
      <c r="L142" s="24"/>
      <c r="M142" s="25"/>
      <c r="N142" s="25"/>
    </row>
    <row r="143" spans="1:16" ht="15.95" customHeight="1" x14ac:dyDescent="0.25">
      <c r="A143" s="121"/>
      <c r="B143" s="23"/>
      <c r="C143" s="63"/>
      <c r="D143" s="145"/>
      <c r="E143" s="24"/>
      <c r="F143" s="24"/>
      <c r="G143" s="90"/>
      <c r="H143" s="23"/>
      <c r="I143" s="24"/>
      <c r="J143" s="24"/>
      <c r="K143" s="24"/>
      <c r="L143" s="24"/>
      <c r="M143" s="25"/>
      <c r="N143" s="25"/>
    </row>
    <row r="144" spans="1:16" ht="15.95" customHeight="1" x14ac:dyDescent="0.25">
      <c r="A144" s="121"/>
      <c r="B144" s="23"/>
      <c r="C144" s="24"/>
      <c r="D144" s="24"/>
      <c r="E144" s="24"/>
      <c r="F144" s="24"/>
      <c r="G144" s="90"/>
      <c r="H144" s="23"/>
      <c r="I144" s="24"/>
      <c r="J144" s="24"/>
      <c r="K144" s="24"/>
      <c r="L144" s="24"/>
      <c r="M144" s="25"/>
      <c r="N144" s="25"/>
    </row>
    <row r="145" spans="1:15" ht="15.95" customHeight="1" x14ac:dyDescent="0.25">
      <c r="A145" s="121"/>
      <c r="B145" s="23"/>
      <c r="C145" s="24"/>
      <c r="D145" s="24"/>
      <c r="E145" s="24"/>
      <c r="F145" s="24"/>
      <c r="G145" s="90"/>
      <c r="H145" s="23"/>
      <c r="I145" s="24"/>
      <c r="J145" s="24"/>
      <c r="K145" s="24"/>
      <c r="L145" s="24"/>
      <c r="M145" s="25"/>
      <c r="N145" s="25"/>
    </row>
    <row r="146" spans="1:15" ht="15.95" customHeight="1" x14ac:dyDescent="0.25">
      <c r="A146" s="121"/>
      <c r="B146" s="23"/>
      <c r="C146" s="24"/>
      <c r="D146" s="24"/>
      <c r="E146" s="24"/>
      <c r="F146" s="24"/>
      <c r="G146" s="90"/>
      <c r="H146" s="23"/>
      <c r="I146" s="24"/>
      <c r="J146" s="24"/>
      <c r="K146" s="24"/>
      <c r="L146" s="24"/>
      <c r="M146" s="25"/>
      <c r="N146" s="25"/>
    </row>
    <row r="147" spans="1:15" ht="15.95" customHeight="1" x14ac:dyDescent="0.25">
      <c r="A147" s="121"/>
      <c r="B147" s="23"/>
      <c r="C147" s="24"/>
      <c r="D147" s="24"/>
      <c r="E147" s="24"/>
      <c r="F147" s="24"/>
      <c r="G147" s="90"/>
      <c r="H147" s="23"/>
      <c r="I147" s="24"/>
      <c r="J147" s="24"/>
      <c r="K147" s="24"/>
      <c r="L147" s="24"/>
      <c r="M147" s="25"/>
      <c r="N147" s="25"/>
    </row>
    <row r="148" spans="1:15" ht="15.95" customHeight="1" x14ac:dyDescent="0.25">
      <c r="A148" s="121"/>
      <c r="B148" s="23"/>
      <c r="C148" s="24"/>
      <c r="D148" s="24"/>
      <c r="E148" s="24"/>
      <c r="F148" s="24"/>
      <c r="G148" s="90"/>
      <c r="H148" s="23"/>
      <c r="I148" s="24"/>
      <c r="J148" s="24"/>
      <c r="K148" s="24"/>
      <c r="L148" s="24"/>
      <c r="M148" s="25"/>
      <c r="N148" s="25"/>
    </row>
    <row r="149" spans="1:15" ht="15.95" customHeight="1" x14ac:dyDescent="0.25">
      <c r="A149" s="121"/>
      <c r="B149" s="23"/>
      <c r="C149" s="24"/>
      <c r="D149" s="24"/>
      <c r="E149" s="24"/>
      <c r="F149" s="24"/>
      <c r="G149" s="90"/>
      <c r="H149" s="23"/>
      <c r="I149" s="24"/>
      <c r="J149" s="24"/>
      <c r="K149" s="24"/>
      <c r="L149" s="24"/>
      <c r="M149" s="25"/>
      <c r="N149" s="25"/>
    </row>
    <row r="150" spans="1:15" ht="15.95" customHeight="1" x14ac:dyDescent="0.25">
      <c r="A150" s="121"/>
      <c r="B150" s="23"/>
      <c r="C150" s="24"/>
      <c r="D150" s="24"/>
      <c r="E150" s="24"/>
      <c r="F150" s="24"/>
      <c r="G150" s="90"/>
      <c r="H150" s="26"/>
      <c r="I150" s="27"/>
      <c r="J150" s="27"/>
      <c r="K150" s="27"/>
      <c r="L150" s="27"/>
      <c r="M150" s="28"/>
      <c r="N150" s="25"/>
    </row>
    <row r="151" spans="1:15" ht="20.100000000000001" customHeight="1" x14ac:dyDescent="0.25">
      <c r="A151" s="121"/>
      <c r="B151" s="26"/>
      <c r="C151" s="85"/>
      <c r="D151" s="27"/>
      <c r="E151" s="27"/>
      <c r="F151" s="27"/>
      <c r="G151" s="91"/>
      <c r="H151" s="27"/>
      <c r="I151" s="27"/>
      <c r="J151" s="27"/>
      <c r="K151" s="27"/>
      <c r="L151" s="27"/>
      <c r="M151" s="27"/>
      <c r="N151" s="28"/>
    </row>
    <row r="152" spans="1:15" ht="15.95" customHeight="1" x14ac:dyDescent="0.25">
      <c r="A152" s="121"/>
      <c r="B152" s="683" t="s">
        <v>89</v>
      </c>
      <c r="C152" s="684"/>
      <c r="D152" s="684"/>
      <c r="E152" s="684"/>
      <c r="F152" s="684"/>
      <c r="G152" s="684"/>
      <c r="H152" s="684"/>
      <c r="I152" s="684"/>
      <c r="J152" s="684"/>
      <c r="K152" s="684"/>
      <c r="L152" s="684"/>
      <c r="M152" s="684"/>
      <c r="N152" s="685"/>
    </row>
    <row r="153" spans="1:15" ht="15.95" customHeight="1" x14ac:dyDescent="0.25">
      <c r="A153" s="121"/>
      <c r="B153" s="23"/>
      <c r="C153" s="638" t="s">
        <v>37</v>
      </c>
      <c r="D153" s="639"/>
      <c r="E153" s="640"/>
      <c r="F153" s="31"/>
      <c r="G153" s="87"/>
      <c r="H153" s="641" t="s">
        <v>28</v>
      </c>
      <c r="I153" s="642"/>
      <c r="J153" s="39">
        <f>+$D$174-SUMIF($H$159:$H$164,"&lt;"&amp;$M$4,$K$159:$K$164)</f>
        <v>0</v>
      </c>
      <c r="K153" s="24"/>
      <c r="L153" s="24"/>
      <c r="M153" s="24"/>
      <c r="N153" s="25"/>
      <c r="O153" s="194" t="str">
        <f>+D157</f>
        <v>ON Pyme CNV Garantizada</v>
      </c>
    </row>
    <row r="154" spans="1:15" ht="15.95" customHeight="1" x14ac:dyDescent="0.25">
      <c r="A154" s="121"/>
      <c r="B154" s="23"/>
      <c r="C154" s="58"/>
      <c r="D154" s="664"/>
      <c r="E154" s="665"/>
      <c r="G154" s="87"/>
      <c r="H154" s="645" t="s">
        <v>29</v>
      </c>
      <c r="I154" s="646"/>
      <c r="J154" s="40">
        <f>+$D$173</f>
        <v>44708</v>
      </c>
      <c r="K154" s="24"/>
      <c r="L154" s="24"/>
      <c r="M154" s="24"/>
      <c r="N154" s="25"/>
    </row>
    <row r="155" spans="1:15" ht="15.95" customHeight="1" x14ac:dyDescent="0.25">
      <c r="A155" s="121"/>
      <c r="B155" s="23"/>
      <c r="C155" s="59" t="s">
        <v>25</v>
      </c>
      <c r="D155" s="681"/>
      <c r="E155" s="682"/>
      <c r="F155" s="31"/>
      <c r="G155" s="87"/>
      <c r="H155" s="649" t="s">
        <v>30</v>
      </c>
      <c r="I155" s="650"/>
      <c r="J155" s="42" t="str">
        <f t="array" ref="J155">+IF(H164&gt;=M4,MIN(IF($H$159:$H$164&gt;$M$4,$H$159:$H$164,"")),"vencida")</f>
        <v>vencida</v>
      </c>
      <c r="K155" s="24"/>
      <c r="L155" s="24"/>
      <c r="M155" s="24"/>
      <c r="N155" s="25"/>
      <c r="O155" s="194" t="str">
        <f>+IF(J155="vencida",IF(D157='Reporte - Oscuro'!$C$40,'Reporte - Oscuro'!$C$40&amp;" vencida",IF(D157='Reporte - Oscuro'!$C$41,'Reporte - Oscuro'!$C$41&amp;" vencida",IF(D157='Reporte - Oscuro'!$C$42,'Reporte - Oscuro'!$C$42&amp;" vencida",'Reporte - Oscuro'!$C$43&amp;" vencida"))),D157&amp;" vigente")</f>
        <v>ON Pyme CNV Garantizada vencida</v>
      </c>
    </row>
    <row r="156" spans="1:15" ht="15.95" customHeight="1" x14ac:dyDescent="0.25">
      <c r="A156" s="121"/>
      <c r="B156" s="23"/>
      <c r="C156" s="59" t="s">
        <v>6</v>
      </c>
      <c r="D156" s="681" t="s">
        <v>412</v>
      </c>
      <c r="E156" s="682"/>
      <c r="F156" s="31"/>
      <c r="G156" s="87"/>
      <c r="H156" s="24"/>
      <c r="I156" s="24"/>
      <c r="J156" s="24"/>
      <c r="K156" s="24"/>
      <c r="L156" s="24"/>
      <c r="M156" s="24"/>
      <c r="N156" s="25"/>
    </row>
    <row r="157" spans="1:15" ht="15.95" customHeight="1" x14ac:dyDescent="0.25">
      <c r="A157" s="121"/>
      <c r="B157" s="23"/>
      <c r="C157" s="59" t="s">
        <v>8</v>
      </c>
      <c r="D157" s="681" t="s">
        <v>17</v>
      </c>
      <c r="E157" s="682"/>
      <c r="F157" s="31"/>
      <c r="G157" s="87"/>
      <c r="H157" s="677" t="s">
        <v>41</v>
      </c>
      <c r="I157" s="678"/>
      <c r="J157" s="678"/>
      <c r="K157" s="678"/>
      <c r="L157" s="679"/>
      <c r="M157" s="24"/>
      <c r="N157" s="25"/>
    </row>
    <row r="158" spans="1:15" ht="15.95" customHeight="1" x14ac:dyDescent="0.25">
      <c r="A158" s="121"/>
      <c r="B158" s="23"/>
      <c r="C158" s="59" t="s">
        <v>33</v>
      </c>
      <c r="D158" s="132" t="s">
        <v>309</v>
      </c>
      <c r="E158" s="274">
        <v>1</v>
      </c>
      <c r="F158" s="281">
        <f>+E158*J153</f>
        <v>0</v>
      </c>
      <c r="G158" s="87"/>
      <c r="H158" s="146" t="s">
        <v>0</v>
      </c>
      <c r="I158" s="147" t="s">
        <v>2</v>
      </c>
      <c r="J158" s="147" t="s">
        <v>3</v>
      </c>
      <c r="K158" s="147" t="s">
        <v>4</v>
      </c>
      <c r="L158" s="148" t="s">
        <v>5</v>
      </c>
      <c r="M158" s="148" t="s">
        <v>44</v>
      </c>
      <c r="N158" s="25"/>
    </row>
    <row r="159" spans="1:15" ht="15.95" customHeight="1" x14ac:dyDescent="0.25">
      <c r="A159" s="121"/>
      <c r="B159" s="23"/>
      <c r="C159" s="59" t="s">
        <v>34</v>
      </c>
      <c r="D159" s="681" t="s">
        <v>48</v>
      </c>
      <c r="E159" s="682"/>
      <c r="F159" s="31"/>
      <c r="G159" s="87"/>
      <c r="H159" s="45"/>
      <c r="I159" s="46"/>
      <c r="J159" s="46"/>
      <c r="K159" s="46"/>
      <c r="L159" s="47"/>
      <c r="M159" s="101"/>
      <c r="N159" s="25"/>
    </row>
    <row r="160" spans="1:15" ht="15.95" customHeight="1" x14ac:dyDescent="0.25">
      <c r="A160" s="121"/>
      <c r="B160" s="23"/>
      <c r="C160" s="79" t="s">
        <v>38</v>
      </c>
      <c r="D160" s="130"/>
      <c r="E160" s="131"/>
      <c r="F160" s="31"/>
      <c r="G160" s="87"/>
      <c r="H160" s="48">
        <f>+$D$172</f>
        <v>43612</v>
      </c>
      <c r="I160" s="136"/>
      <c r="J160" s="49"/>
      <c r="K160" s="49"/>
      <c r="L160" s="50">
        <f>+D174</f>
        <v>200000</v>
      </c>
      <c r="M160" s="102">
        <f>-L160</f>
        <v>-200000</v>
      </c>
      <c r="N160" s="25"/>
      <c r="O160" s="97">
        <f>+M160</f>
        <v>-200000</v>
      </c>
    </row>
    <row r="161" spans="1:15" ht="15.95" customHeight="1" x14ac:dyDescent="0.25">
      <c r="A161" s="121"/>
      <c r="B161" s="23"/>
      <c r="C161" s="59"/>
      <c r="D161" s="132"/>
      <c r="E161" s="133"/>
      <c r="F161" s="31"/>
      <c r="G161" s="87"/>
      <c r="H161" s="51">
        <f>IF(DAY(H160)=DAY($H$160),IF(WEEKDAY(EDATE(H160,$D$175),3)&lt;5,EDATE(H160,$D$175),WORKDAY(EDATE(H160,$D$175),1)),IF(WEEKDAY(EDATE($H$160,$D$175*COUNT($H$160:H160)),3)&lt;5,EDATE($H$160,$D$175*COUNT($H$160:H160)),WORKDAY(EDATE($H$160,$D$175*COUNT($H$160:H160)),1)))</f>
        <v>43796</v>
      </c>
      <c r="I161" s="137" t="s">
        <v>13</v>
      </c>
      <c r="J161" s="52">
        <f>+(($D$178/365)*(H161-H160))*L160</f>
        <v>9073.9726027397264</v>
      </c>
      <c r="K161" s="52">
        <f>+IF(OR(I161="A + C",I161="A"),$L$160*$D$179,0)</f>
        <v>50000</v>
      </c>
      <c r="L161" s="53">
        <f>+L160-K161</f>
        <v>150000</v>
      </c>
      <c r="M161" s="103">
        <f>+J161+K161</f>
        <v>59073.972602739726</v>
      </c>
      <c r="N161" s="25"/>
      <c r="O161" s="97">
        <f>+M161+O160</f>
        <v>-140926.02739726027</v>
      </c>
    </row>
    <row r="162" spans="1:15" ht="15.95" customHeight="1" x14ac:dyDescent="0.25">
      <c r="A162" s="121"/>
      <c r="B162" s="23"/>
      <c r="C162" s="60"/>
      <c r="D162" s="134"/>
      <c r="E162" s="135"/>
      <c r="F162" s="34"/>
      <c r="G162" s="88"/>
      <c r="H162" s="51">
        <f>IF(DAY(H161)=DAY($H$160),IF(WEEKDAY(EDATE(H161,$D$176),3)&lt;5,EDATE(H161,$D$176),WORKDAY(EDATE(H161,$D$176),1)),IF(WEEKDAY(EDATE($H$160,$D$176*COUNT($H$160:H161)),3)&lt;5,EDATE($H$160,$D$176*COUNT($H$160:H161)),WORKDAY(EDATE($H$160,$D$176*COUNT($H$160:H161)),1)))</f>
        <v>43978</v>
      </c>
      <c r="I162" s="137" t="s">
        <v>13</v>
      </c>
      <c r="J162" s="52">
        <f>+(($D$178/365)*(H162-H161))*L161</f>
        <v>6731.5068493150684</v>
      </c>
      <c r="K162" s="52">
        <f>+IF(OR(I162="A + C",I162="A"),$D$174*$D$179,0)</f>
        <v>50000</v>
      </c>
      <c r="L162" s="53">
        <f>+L161-K162</f>
        <v>100000</v>
      </c>
      <c r="M162" s="103">
        <f>+J162+K162</f>
        <v>56731.506849315068</v>
      </c>
      <c r="N162" s="25"/>
      <c r="O162" s="97">
        <f>+M162+O161</f>
        <v>-84194.520547945198</v>
      </c>
    </row>
    <row r="163" spans="1:15" ht="15.95" customHeight="1" x14ac:dyDescent="0.25">
      <c r="A163" s="121"/>
      <c r="B163" s="23"/>
      <c r="C163" s="60"/>
      <c r="D163" s="666"/>
      <c r="E163" s="667"/>
      <c r="F163" s="34"/>
      <c r="G163" s="88"/>
      <c r="H163" s="51">
        <f>IF(DAY(H162)=DAY($H$160),IF(WEEKDAY(EDATE(H162,$D$176),3)&lt;5,EDATE(H162,$D$176),WORKDAY(EDATE(H162,$D$176),1)),IF(WEEKDAY(EDATE($H$160,$D$176*COUNT($H$160:H162)),3)&lt;5,EDATE($H$160,$D$176*COUNT($H$160:H162)),WORKDAY(EDATE($H$160,$D$176*COUNT($H$160:H162)),1)))</f>
        <v>44162</v>
      </c>
      <c r="I163" s="137" t="s">
        <v>13</v>
      </c>
      <c r="J163" s="52">
        <f>+(($D$178/365)*(H163-H162))*L162</f>
        <v>4536.9863013698632</v>
      </c>
      <c r="K163" s="52">
        <f>+IF(OR(I163="A + C",I163="A"),$D$174*$D$179,0)</f>
        <v>50000</v>
      </c>
      <c r="L163" s="53">
        <f>+L162-K163</f>
        <v>50000</v>
      </c>
      <c r="M163" s="103">
        <f>+J163+K163</f>
        <v>54536.986301369863</v>
      </c>
      <c r="N163" s="25"/>
      <c r="O163" s="97">
        <f>+M163+O162</f>
        <v>-29657.534246575335</v>
      </c>
    </row>
    <row r="164" spans="1:15" ht="15.95" customHeight="1" x14ac:dyDescent="0.25">
      <c r="A164" s="121"/>
      <c r="B164" s="32"/>
      <c r="C164" s="24"/>
      <c r="D164" s="25" t="str">
        <f>B152</f>
        <v>Amoblamientos Reno I</v>
      </c>
      <c r="E164" s="24"/>
      <c r="F164" s="34"/>
      <c r="G164" s="88">
        <f>J153</f>
        <v>0</v>
      </c>
      <c r="H164" s="51">
        <f>IF(DAY(H163)=DAY($H$160),IF(WEEKDAY(EDATE(H163,$D$176),3)&lt;5,EDATE(H163,$D$176),WORKDAY(EDATE(H163,$D$176),1)),IF(WEEKDAY(EDATE($H$160,$D$176*COUNT($H$160:H163)),3)&lt;5,EDATE($H$160,$D$176*COUNT($H$160:H163)),WORKDAY(EDATE($H$160,$D$176*COUNT($H$160:H163)),1)))</f>
        <v>44343</v>
      </c>
      <c r="I164" s="137" t="s">
        <v>13</v>
      </c>
      <c r="J164" s="52">
        <f>+(($D$178/365)*(H164-H163))*L163</f>
        <v>2231.5068493150684</v>
      </c>
      <c r="K164" s="52">
        <f>+IF(OR(I164="A + C",I164="A"),$D$174*$D$179,0)</f>
        <v>50000</v>
      </c>
      <c r="L164" s="53">
        <f>+L163-K164</f>
        <v>0</v>
      </c>
      <c r="M164" s="103">
        <f>+J164+K164</f>
        <v>52231.506849315068</v>
      </c>
      <c r="N164" s="25"/>
      <c r="O164" s="97">
        <f>+M164+O163</f>
        <v>22573.972602739734</v>
      </c>
    </row>
    <row r="165" spans="1:15" ht="15.95" customHeight="1" x14ac:dyDescent="0.25">
      <c r="A165" s="121"/>
      <c r="B165" s="32"/>
      <c r="C165" s="24"/>
      <c r="D165" s="644"/>
      <c r="E165" s="660"/>
      <c r="F165" s="34"/>
      <c r="G165" s="88"/>
      <c r="H165" s="54"/>
      <c r="I165" s="144"/>
      <c r="J165" s="105"/>
      <c r="K165" s="105"/>
      <c r="L165" s="106"/>
      <c r="M165" s="107"/>
      <c r="N165" s="25"/>
      <c r="O165" s="97"/>
    </row>
    <row r="166" spans="1:15" ht="15.95" customHeight="1" x14ac:dyDescent="0.25">
      <c r="A166" s="121"/>
      <c r="B166" s="23"/>
      <c r="C166" s="638" t="s">
        <v>36</v>
      </c>
      <c r="D166" s="640"/>
      <c r="E166" s="36"/>
      <c r="F166" s="34"/>
      <c r="G166" s="89"/>
      <c r="H166" s="24"/>
      <c r="I166" s="24"/>
      <c r="J166" s="24"/>
      <c r="K166" s="24"/>
      <c r="L166" s="24"/>
      <c r="M166" s="24"/>
      <c r="N166" s="25"/>
      <c r="O166" s="97"/>
    </row>
    <row r="167" spans="1:15" ht="15.95" customHeight="1" x14ac:dyDescent="0.25">
      <c r="A167" s="121"/>
      <c r="B167" s="23"/>
      <c r="C167" s="59"/>
      <c r="D167" s="62"/>
      <c r="E167" s="36"/>
      <c r="F167" s="36"/>
      <c r="G167" s="89"/>
      <c r="H167" s="680" t="s">
        <v>43</v>
      </c>
      <c r="I167" s="680"/>
      <c r="J167" s="92">
        <v>0</v>
      </c>
      <c r="K167" s="92"/>
      <c r="L167" s="24"/>
      <c r="M167" s="24"/>
      <c r="N167" s="25"/>
      <c r="O167" s="97"/>
    </row>
    <row r="168" spans="1:15" ht="15.95" customHeight="1" x14ac:dyDescent="0.25">
      <c r="A168" s="121"/>
      <c r="B168" s="23"/>
      <c r="C168" s="59" t="s">
        <v>9</v>
      </c>
      <c r="D168" s="129" t="s">
        <v>49</v>
      </c>
      <c r="E168" s="36"/>
      <c r="F168" s="36"/>
      <c r="G168" s="89"/>
      <c r="H168" s="657"/>
      <c r="I168" s="657"/>
      <c r="J168" s="392"/>
      <c r="K168" s="24"/>
      <c r="L168" s="33"/>
      <c r="M168" s="33"/>
      <c r="N168" s="25"/>
      <c r="O168" s="97"/>
    </row>
    <row r="169" spans="1:15" ht="15.95" customHeight="1" x14ac:dyDescent="0.25">
      <c r="A169" s="121"/>
      <c r="B169" s="23"/>
      <c r="C169" s="59" t="s">
        <v>51</v>
      </c>
      <c r="D169" s="138" t="s">
        <v>49</v>
      </c>
      <c r="E169" s="36"/>
      <c r="F169" s="36"/>
      <c r="G169" s="89"/>
      <c r="H169" s="24"/>
      <c r="I169" s="24"/>
      <c r="J169" s="24"/>
      <c r="K169" s="24"/>
      <c r="L169" s="24"/>
      <c r="M169" s="24"/>
      <c r="N169" s="25"/>
      <c r="O169" s="97"/>
    </row>
    <row r="170" spans="1:15" ht="15.95" customHeight="1" x14ac:dyDescent="0.25">
      <c r="A170" s="121"/>
      <c r="B170" s="23"/>
      <c r="C170" s="59" t="s">
        <v>52</v>
      </c>
      <c r="D170" s="138" t="s">
        <v>49</v>
      </c>
      <c r="E170" s="36"/>
      <c r="F170" s="36"/>
      <c r="G170" s="89"/>
      <c r="H170" s="638" t="s">
        <v>44</v>
      </c>
      <c r="I170" s="639"/>
      <c r="J170" s="639"/>
      <c r="K170" s="639"/>
      <c r="L170" s="639"/>
      <c r="M170" s="640"/>
      <c r="N170" s="25"/>
    </row>
    <row r="171" spans="1:15" ht="15.95" customHeight="1" x14ac:dyDescent="0.25">
      <c r="A171" s="121"/>
      <c r="B171" s="23"/>
      <c r="C171" s="59" t="s">
        <v>10</v>
      </c>
      <c r="D171" s="139">
        <v>43607</v>
      </c>
      <c r="E171" s="36"/>
      <c r="F171" s="36"/>
      <c r="G171" s="89"/>
      <c r="H171" s="23"/>
      <c r="I171" s="24"/>
      <c r="J171" s="24"/>
      <c r="K171" s="24"/>
      <c r="L171" s="24"/>
      <c r="M171" s="25"/>
      <c r="N171" s="25"/>
    </row>
    <row r="172" spans="1:15" ht="15.95" customHeight="1" x14ac:dyDescent="0.25">
      <c r="A172" s="121"/>
      <c r="B172" s="23"/>
      <c r="C172" s="59" t="s">
        <v>11</v>
      </c>
      <c r="D172" s="139">
        <v>43612</v>
      </c>
      <c r="E172" s="41"/>
      <c r="F172" s="24"/>
      <c r="G172" s="89"/>
      <c r="H172" s="23"/>
      <c r="I172" s="24"/>
      <c r="J172" s="24"/>
      <c r="K172" s="24"/>
      <c r="L172" s="24"/>
      <c r="M172" s="25"/>
      <c r="N172" s="25"/>
    </row>
    <row r="173" spans="1:15" ht="15.95" customHeight="1" x14ac:dyDescent="0.25">
      <c r="A173" s="121"/>
      <c r="B173" s="23"/>
      <c r="C173" s="59" t="s">
        <v>12</v>
      </c>
      <c r="D173" s="139">
        <v>44708</v>
      </c>
      <c r="E173" s="36"/>
      <c r="F173" s="24"/>
      <c r="G173" s="90"/>
      <c r="H173" s="96"/>
      <c r="I173" s="35"/>
      <c r="J173" s="24"/>
      <c r="K173" s="24"/>
      <c r="L173" s="24"/>
      <c r="M173" s="25"/>
      <c r="N173" s="25"/>
    </row>
    <row r="174" spans="1:15" ht="15.95" customHeight="1" x14ac:dyDescent="0.25">
      <c r="A174" s="121"/>
      <c r="B174" s="23"/>
      <c r="C174" s="59" t="s">
        <v>27</v>
      </c>
      <c r="D174" s="140">
        <v>200000</v>
      </c>
      <c r="E174" s="43"/>
      <c r="F174" s="24"/>
      <c r="G174" s="90"/>
      <c r="H174" s="23"/>
      <c r="I174" s="24"/>
      <c r="J174" s="24"/>
      <c r="K174" s="24"/>
      <c r="L174" s="24"/>
      <c r="M174" s="25"/>
      <c r="N174" s="25"/>
    </row>
    <row r="175" spans="1:15" ht="15.95" customHeight="1" x14ac:dyDescent="0.25">
      <c r="A175" s="121"/>
      <c r="B175" s="23"/>
      <c r="C175" s="59" t="s">
        <v>65</v>
      </c>
      <c r="D175" s="140">
        <v>6</v>
      </c>
      <c r="E175" s="43"/>
      <c r="F175" s="24"/>
      <c r="G175" s="90"/>
      <c r="H175" s="23"/>
      <c r="I175" s="24"/>
      <c r="J175" s="24"/>
      <c r="K175" s="24"/>
      <c r="L175" s="24"/>
      <c r="M175" s="25"/>
      <c r="N175" s="25"/>
    </row>
    <row r="176" spans="1:15" ht="15.95" customHeight="1" x14ac:dyDescent="0.25">
      <c r="A176" s="121"/>
      <c r="B176" s="23"/>
      <c r="C176" s="59" t="s">
        <v>26</v>
      </c>
      <c r="D176" s="140">
        <v>6</v>
      </c>
      <c r="E176" s="43"/>
      <c r="F176" s="24"/>
      <c r="G176" s="90"/>
      <c r="H176" s="23"/>
      <c r="I176" s="24"/>
      <c r="J176" s="24"/>
      <c r="K176" s="24"/>
      <c r="L176" s="24"/>
      <c r="M176" s="25"/>
      <c r="N176" s="25"/>
    </row>
    <row r="177" spans="1:15" ht="15.95" customHeight="1" x14ac:dyDescent="0.25">
      <c r="A177" s="121"/>
      <c r="B177" s="23"/>
      <c r="C177" s="59" t="s">
        <v>19</v>
      </c>
      <c r="D177" s="141" t="s">
        <v>50</v>
      </c>
      <c r="E177" s="43"/>
      <c r="F177" s="24"/>
      <c r="G177" s="90"/>
      <c r="H177" s="23"/>
      <c r="I177" s="24"/>
      <c r="J177" s="24"/>
      <c r="K177" s="24"/>
      <c r="L177" s="24"/>
      <c r="M177" s="25"/>
      <c r="N177" s="25"/>
    </row>
    <row r="178" spans="1:15" ht="15.95" customHeight="1" x14ac:dyDescent="0.25">
      <c r="A178" s="121"/>
      <c r="B178" s="23"/>
      <c r="C178" s="59" t="s">
        <v>14</v>
      </c>
      <c r="D178" s="142">
        <v>0.09</v>
      </c>
      <c r="E178" s="44"/>
      <c r="F178" s="24"/>
      <c r="G178" s="90"/>
      <c r="H178" s="23"/>
      <c r="I178" s="24"/>
      <c r="J178" s="24"/>
      <c r="K178" s="24"/>
      <c r="L178" s="24"/>
      <c r="M178" s="25"/>
      <c r="N178" s="25"/>
    </row>
    <row r="179" spans="1:15" ht="15.95" customHeight="1" x14ac:dyDescent="0.25">
      <c r="A179" s="121"/>
      <c r="B179" s="23"/>
      <c r="C179" s="59" t="s">
        <v>64</v>
      </c>
      <c r="D179" s="143">
        <v>0.25</v>
      </c>
      <c r="E179" s="24"/>
      <c r="F179" s="24"/>
      <c r="G179" s="90"/>
      <c r="H179" s="23"/>
      <c r="I179" s="24"/>
      <c r="J179" s="24"/>
      <c r="K179" s="24"/>
      <c r="L179" s="24"/>
      <c r="M179" s="25"/>
      <c r="N179" s="25"/>
    </row>
    <row r="180" spans="1:15" ht="15.95" customHeight="1" x14ac:dyDescent="0.25">
      <c r="A180" s="121"/>
      <c r="B180" s="23"/>
      <c r="C180" s="63"/>
      <c r="D180" s="145"/>
      <c r="E180" s="24"/>
      <c r="F180" s="24"/>
      <c r="G180" s="90"/>
      <c r="H180" s="23"/>
      <c r="I180" s="24"/>
      <c r="J180" s="24"/>
      <c r="K180" s="24"/>
      <c r="L180" s="24"/>
      <c r="M180" s="25"/>
      <c r="N180" s="25"/>
    </row>
    <row r="181" spans="1:15" ht="15.95" customHeight="1" x14ac:dyDescent="0.25">
      <c r="A181" s="121"/>
      <c r="B181" s="23"/>
      <c r="C181" s="24"/>
      <c r="D181" s="24"/>
      <c r="E181" s="24"/>
      <c r="F181" s="24"/>
      <c r="G181" s="90"/>
      <c r="H181" s="23"/>
      <c r="I181" s="24"/>
      <c r="J181" s="24"/>
      <c r="K181" s="24"/>
      <c r="L181" s="24"/>
      <c r="M181" s="25"/>
      <c r="N181" s="25"/>
    </row>
    <row r="182" spans="1:15" ht="15.95" customHeight="1" x14ac:dyDescent="0.25">
      <c r="A182" s="121"/>
      <c r="B182" s="23"/>
      <c r="C182" s="24"/>
      <c r="D182" s="24"/>
      <c r="E182" s="24"/>
      <c r="F182" s="24"/>
      <c r="G182" s="90"/>
      <c r="H182" s="26"/>
      <c r="I182" s="27"/>
      <c r="J182" s="27"/>
      <c r="K182" s="27"/>
      <c r="L182" s="27"/>
      <c r="M182" s="28"/>
      <c r="N182" s="25"/>
    </row>
    <row r="183" spans="1:15" ht="15.95" customHeight="1" x14ac:dyDescent="0.25">
      <c r="A183" s="121"/>
      <c r="B183" s="26"/>
      <c r="C183" s="27"/>
      <c r="D183" s="27"/>
      <c r="E183" s="27"/>
      <c r="F183" s="27"/>
      <c r="G183" s="91"/>
      <c r="H183" s="27"/>
      <c r="I183" s="27"/>
      <c r="J183" s="27"/>
      <c r="K183" s="27"/>
      <c r="L183" s="27"/>
      <c r="M183" s="27"/>
      <c r="N183" s="28"/>
    </row>
    <row r="184" spans="1:15" ht="15.95" customHeight="1" x14ac:dyDescent="0.25">
      <c r="A184" s="121"/>
      <c r="B184" s="23"/>
      <c r="C184" s="24"/>
      <c r="D184" s="24"/>
      <c r="E184" s="24"/>
      <c r="F184" s="24"/>
      <c r="G184" s="24"/>
      <c r="H184" s="24"/>
      <c r="I184" s="24"/>
      <c r="J184" s="24"/>
      <c r="K184" s="24"/>
      <c r="L184" s="24"/>
      <c r="M184" s="24"/>
      <c r="N184" s="25"/>
    </row>
    <row r="185" spans="1:15" ht="20.100000000000001" customHeight="1" x14ac:dyDescent="0.25">
      <c r="A185" s="121"/>
      <c r="B185" s="683" t="s">
        <v>141</v>
      </c>
      <c r="C185" s="684"/>
      <c r="D185" s="684"/>
      <c r="E185" s="684"/>
      <c r="F185" s="684"/>
      <c r="G185" s="684"/>
      <c r="H185" s="684"/>
      <c r="I185" s="684"/>
      <c r="J185" s="684"/>
      <c r="K185" s="684"/>
      <c r="L185" s="684"/>
      <c r="M185" s="684"/>
      <c r="N185" s="685"/>
    </row>
    <row r="186" spans="1:15" ht="15.95" customHeight="1" x14ac:dyDescent="0.25">
      <c r="A186" s="121"/>
      <c r="B186" s="23"/>
      <c r="C186" s="24"/>
      <c r="D186" s="24"/>
      <c r="E186" s="24"/>
      <c r="F186" s="31"/>
      <c r="G186" s="87"/>
      <c r="H186" s="31"/>
      <c r="I186" s="31"/>
      <c r="J186" s="24"/>
      <c r="K186" s="24"/>
      <c r="L186" s="24"/>
      <c r="M186" s="24"/>
      <c r="N186" s="25"/>
    </row>
    <row r="187" spans="1:15" ht="15.95" customHeight="1" x14ac:dyDescent="0.25">
      <c r="A187" s="121"/>
      <c r="B187" s="23"/>
      <c r="C187" s="638" t="s">
        <v>37</v>
      </c>
      <c r="D187" s="639"/>
      <c r="E187" s="640"/>
      <c r="F187" s="31"/>
      <c r="G187" s="87"/>
      <c r="H187" s="641" t="s">
        <v>28</v>
      </c>
      <c r="I187" s="642"/>
      <c r="J187" s="39">
        <f>+$D$208-SUMIF($H$193:$H$206,"&lt;"&amp;$M$4,$K$193:$K$206)</f>
        <v>0</v>
      </c>
      <c r="K187" s="24"/>
      <c r="L187" s="24"/>
      <c r="M187" s="24"/>
      <c r="N187" s="25"/>
      <c r="O187" s="194" t="str">
        <f>+D191</f>
        <v>ON Pyme CNV Garantizada</v>
      </c>
    </row>
    <row r="188" spans="1:15" ht="15.95" customHeight="1" x14ac:dyDescent="0.25">
      <c r="A188" s="121"/>
      <c r="B188" s="23"/>
      <c r="C188" s="58"/>
      <c r="D188" s="664"/>
      <c r="E188" s="665"/>
      <c r="F188" s="31"/>
      <c r="G188" s="87"/>
      <c r="H188" s="645" t="s">
        <v>29</v>
      </c>
      <c r="I188" s="646"/>
      <c r="J188" s="40">
        <f>+$D$207</f>
        <v>44282</v>
      </c>
      <c r="K188" s="24"/>
      <c r="L188" s="24"/>
      <c r="M188" s="24"/>
      <c r="N188" s="25"/>
    </row>
    <row r="189" spans="1:15" ht="15.95" customHeight="1" x14ac:dyDescent="0.25">
      <c r="A189" s="121"/>
      <c r="B189" s="23"/>
      <c r="C189" s="59" t="s">
        <v>25</v>
      </c>
      <c r="D189" s="681"/>
      <c r="E189" s="682"/>
      <c r="F189" s="31"/>
      <c r="G189" s="87"/>
      <c r="H189" s="649" t="s">
        <v>30</v>
      </c>
      <c r="I189" s="650"/>
      <c r="J189" s="42" t="str">
        <f t="array" ref="J189">+IF(H206&gt;=M4,MIN(IF($H$193:$H$206&gt;$M$4,$H$193:$H$206,"")),"vencida")</f>
        <v>vencida</v>
      </c>
      <c r="K189" s="24"/>
      <c r="L189" s="24"/>
      <c r="M189" s="24"/>
      <c r="N189" s="25"/>
      <c r="O189" s="194" t="str">
        <f>+IF(J189="vencida",IF(D191='Reporte - Oscuro'!$C$40,'Reporte - Oscuro'!$C$40&amp;" vencida",IF(D191='Reporte - Oscuro'!$C$41,'Reporte - Oscuro'!$C$41&amp;" vencida",IF(D191='Reporte - Oscuro'!$C$42,'Reporte - Oscuro'!$C$42&amp;" vencida",'Reporte - Oscuro'!$C$43&amp;" vencida"))),D191&amp;" vigente")</f>
        <v>ON Pyme CNV Garantizada vencida</v>
      </c>
    </row>
    <row r="190" spans="1:15" ht="15.95" customHeight="1" x14ac:dyDescent="0.25">
      <c r="A190" s="121"/>
      <c r="B190" s="23"/>
      <c r="C190" s="59" t="s">
        <v>6</v>
      </c>
      <c r="D190" s="681" t="s">
        <v>90</v>
      </c>
      <c r="E190" s="682"/>
      <c r="F190" s="31"/>
      <c r="G190" s="87"/>
      <c r="H190" s="24"/>
      <c r="I190" s="24"/>
      <c r="J190" s="24"/>
      <c r="K190" s="24"/>
      <c r="L190" s="24"/>
      <c r="M190" s="24"/>
      <c r="N190" s="25"/>
    </row>
    <row r="191" spans="1:15" ht="15.95" customHeight="1" x14ac:dyDescent="0.25">
      <c r="A191" s="121"/>
      <c r="B191" s="23"/>
      <c r="C191" s="59" t="s">
        <v>8</v>
      </c>
      <c r="D191" s="681" t="s">
        <v>17</v>
      </c>
      <c r="E191" s="682"/>
      <c r="F191" s="31"/>
      <c r="G191" s="87"/>
      <c r="H191" s="677" t="s">
        <v>41</v>
      </c>
      <c r="I191" s="678"/>
      <c r="J191" s="678"/>
      <c r="K191" s="678"/>
      <c r="L191" s="679"/>
      <c r="M191" s="24"/>
      <c r="N191" s="25"/>
    </row>
    <row r="192" spans="1:15" ht="15.95" customHeight="1" x14ac:dyDescent="0.25">
      <c r="A192" s="121"/>
      <c r="B192" s="23"/>
      <c r="C192" s="59" t="s">
        <v>33</v>
      </c>
      <c r="D192" s="132" t="s">
        <v>325</v>
      </c>
      <c r="E192" s="274">
        <v>0.5</v>
      </c>
      <c r="F192" s="281">
        <f>+E192*$J$187</f>
        <v>0</v>
      </c>
      <c r="G192" s="87"/>
      <c r="H192" s="146" t="s">
        <v>0</v>
      </c>
      <c r="I192" s="147" t="s">
        <v>2</v>
      </c>
      <c r="J192" s="147" t="s">
        <v>3</v>
      </c>
      <c r="K192" s="147" t="s">
        <v>4</v>
      </c>
      <c r="L192" s="148" t="s">
        <v>5</v>
      </c>
      <c r="M192" s="148" t="s">
        <v>44</v>
      </c>
      <c r="N192" s="25"/>
    </row>
    <row r="193" spans="1:15" ht="15.95" customHeight="1" x14ac:dyDescent="0.25">
      <c r="A193" s="121"/>
      <c r="B193" s="23"/>
      <c r="C193" s="59" t="s">
        <v>33</v>
      </c>
      <c r="D193" s="132" t="s">
        <v>309</v>
      </c>
      <c r="E193" s="274">
        <v>0.5</v>
      </c>
      <c r="F193" s="281">
        <f>+E193*$J$187</f>
        <v>0</v>
      </c>
      <c r="G193" s="87"/>
      <c r="H193" s="45"/>
      <c r="I193" s="46"/>
      <c r="J193" s="46"/>
      <c r="K193" s="46"/>
      <c r="L193" s="47"/>
      <c r="M193" s="101"/>
      <c r="N193" s="25"/>
    </row>
    <row r="194" spans="1:15" ht="15.95" customHeight="1" x14ac:dyDescent="0.25">
      <c r="A194" s="121"/>
      <c r="B194" s="23"/>
      <c r="C194" s="59" t="s">
        <v>34</v>
      </c>
      <c r="D194" s="681" t="s">
        <v>48</v>
      </c>
      <c r="E194" s="682"/>
      <c r="F194" s="31"/>
      <c r="G194" s="87"/>
      <c r="H194" s="48">
        <f>+$D$206</f>
        <v>43186</v>
      </c>
      <c r="I194" s="136"/>
      <c r="J194" s="49"/>
      <c r="K194" s="49"/>
      <c r="L194" s="50">
        <f>+D208</f>
        <v>1000000</v>
      </c>
      <c r="M194" s="102">
        <f>-L194</f>
        <v>-1000000</v>
      </c>
      <c r="N194" s="25"/>
      <c r="O194" s="97">
        <f>+M194</f>
        <v>-1000000</v>
      </c>
    </row>
    <row r="195" spans="1:15" ht="15.95" customHeight="1" x14ac:dyDescent="0.25">
      <c r="A195" s="121"/>
      <c r="B195" s="23"/>
      <c r="C195" s="79" t="s">
        <v>38</v>
      </c>
      <c r="D195" s="130"/>
      <c r="E195" s="131"/>
      <c r="F195" s="31"/>
      <c r="G195" s="87"/>
      <c r="H195" s="51">
        <f>IF(DAY(H194)=DAY($H$194),IF(WEEKDAY(EDATE(H194,$D$209),3)&lt;5,EDATE(H194,$D$209),WORKDAY(EDATE(H194,$D$209),1)),IF(WEEKDAY(EDATE($H$194,$D$209*COUNT($H$194:H194)),3)&lt;5,EDATE($H$194,$D$209*COUNT($H$194:H194)),WORKDAY(EDATE($H$194,$D$209*COUNT($H$194:H194)),1)))</f>
        <v>43278</v>
      </c>
      <c r="I195" s="137" t="s">
        <v>7</v>
      </c>
      <c r="J195" s="52">
        <f t="shared" ref="J195:J206" si="8">+(($D$212/365)*(H195-H194))*L194</f>
        <v>18273.972602739726</v>
      </c>
      <c r="K195" s="52">
        <f t="shared" ref="K195:K206" si="9">+IF(OR(I195="A + C",I195="A"),$L$194*$D$213,0)</f>
        <v>0</v>
      </c>
      <c r="L195" s="53">
        <f t="shared" ref="L195:L206" si="10">+L194-K195</f>
        <v>1000000</v>
      </c>
      <c r="M195" s="103">
        <f t="shared" ref="M195:M206" si="11">+J195+K195</f>
        <v>18273.972602739726</v>
      </c>
      <c r="N195" s="25"/>
      <c r="O195" s="97">
        <f>+M195+O194</f>
        <v>-981726.0273972603</v>
      </c>
    </row>
    <row r="196" spans="1:15" ht="15.95" customHeight="1" x14ac:dyDescent="0.25">
      <c r="A196" s="121"/>
      <c r="B196" s="23"/>
      <c r="C196" s="59"/>
      <c r="D196" s="132"/>
      <c r="E196" s="133"/>
      <c r="F196" s="34"/>
      <c r="G196" s="88"/>
      <c r="H196" s="51">
        <f>IF(DAY(H195)=DAY($H$194),IF(WEEKDAY(EDATE(H195,$D$209),3)&lt;5,EDATE(H195,$D$209),WORKDAY(EDATE(H195,$D$209),1)),IF(WEEKDAY(EDATE($H$194,$D$209*COUNT($H$194:H195)),3)&lt;5,EDATE($H$194,$D$209*COUNT($H$194:H195)),WORKDAY(EDATE($H$194,$D$209*COUNT($H$194:H195)),1)))</f>
        <v>43370</v>
      </c>
      <c r="I196" s="137" t="s">
        <v>7</v>
      </c>
      <c r="J196" s="52">
        <f t="shared" si="8"/>
        <v>18273.972602739726</v>
      </c>
      <c r="K196" s="52">
        <f t="shared" si="9"/>
        <v>0</v>
      </c>
      <c r="L196" s="53">
        <f t="shared" si="10"/>
        <v>1000000</v>
      </c>
      <c r="M196" s="103">
        <f t="shared" si="11"/>
        <v>18273.972602739726</v>
      </c>
      <c r="N196" s="25"/>
      <c r="O196" s="97">
        <f>+M196+O195</f>
        <v>-963452.05479452061</v>
      </c>
    </row>
    <row r="197" spans="1:15" ht="15.95" customHeight="1" x14ac:dyDescent="0.25">
      <c r="A197" s="121"/>
      <c r="B197" s="23"/>
      <c r="C197" s="60"/>
      <c r="D197" s="134"/>
      <c r="E197" s="135"/>
      <c r="F197" s="34"/>
      <c r="G197" s="88"/>
      <c r="H197" s="51">
        <f>IF(DAY(H196)=DAY($H$194),IF(WEEKDAY(EDATE(H196,$D$209),3)&lt;5,EDATE(H196,$D$209),WORKDAY(EDATE(H196,$D$209),1)),IF(WEEKDAY(EDATE($H$194,$D$209*COUNT($H$194:H196)),3)&lt;5,EDATE($H$194,$D$209*COUNT($H$194:H196)),WORKDAY(EDATE($H$194,$D$209*COUNT($H$194:H196)),1)))</f>
        <v>43461</v>
      </c>
      <c r="I197" s="137" t="s">
        <v>13</v>
      </c>
      <c r="J197" s="52">
        <f t="shared" si="8"/>
        <v>18075.342465753423</v>
      </c>
      <c r="K197" s="52">
        <f t="shared" si="9"/>
        <v>166666.66666666669</v>
      </c>
      <c r="L197" s="53">
        <f t="shared" si="10"/>
        <v>833333.33333333326</v>
      </c>
      <c r="M197" s="103">
        <f t="shared" si="11"/>
        <v>184742.00913242012</v>
      </c>
      <c r="N197" s="25"/>
      <c r="O197" s="97">
        <f t="shared" ref="O197:O206" si="12">+M197+O196</f>
        <v>-778710.04566210043</v>
      </c>
    </row>
    <row r="198" spans="1:15" ht="15.95" customHeight="1" x14ac:dyDescent="0.25">
      <c r="A198" s="121"/>
      <c r="B198" s="32"/>
      <c r="C198" s="60"/>
      <c r="D198" s="275"/>
      <c r="E198" s="276"/>
      <c r="F198" s="34"/>
      <c r="G198" s="88"/>
      <c r="H198" s="51">
        <f>IF(DAY(H197)=DAY($H$194),IF(WEEKDAY(EDATE(H197,$D$209),3)&lt;5,EDATE(H197,$D$209),WORKDAY(EDATE(H197,$D$209),1)),IF(WEEKDAY(EDATE($H$194,$D$209*COUNT($H$194:H197)),3)&lt;5,EDATE($H$194,$D$209*COUNT($H$194:H197)),WORKDAY(EDATE($H$194,$D$209*COUNT($H$194:H197)),1)))</f>
        <v>43551</v>
      </c>
      <c r="I198" s="137" t="s">
        <v>13</v>
      </c>
      <c r="J198" s="52">
        <f t="shared" si="8"/>
        <v>14897.260273972599</v>
      </c>
      <c r="K198" s="52">
        <f t="shared" si="9"/>
        <v>166666.66666666669</v>
      </c>
      <c r="L198" s="53">
        <f t="shared" si="10"/>
        <v>666666.66666666651</v>
      </c>
      <c r="M198" s="103">
        <f t="shared" si="11"/>
        <v>181563.92694063927</v>
      </c>
      <c r="N198" s="25"/>
      <c r="O198" s="97">
        <f t="shared" si="12"/>
        <v>-597146.11872146116</v>
      </c>
    </row>
    <row r="199" spans="1:15" ht="15.95" customHeight="1" x14ac:dyDescent="0.25">
      <c r="A199" s="121"/>
      <c r="B199" s="23"/>
      <c r="D199" s="277" t="str">
        <f>B185</f>
        <v>Antas del Dorado I</v>
      </c>
      <c r="E199" s="277"/>
      <c r="F199" s="34"/>
      <c r="G199" s="89">
        <f>J187</f>
        <v>0</v>
      </c>
      <c r="H199" s="51">
        <f>IF(DAY(H198)=DAY($H$194),IF(WEEKDAY(EDATE(H198,$D$209),3)&lt;5,EDATE(H198,$D$209),WORKDAY(EDATE(H198,$D$209),1)),IF(WEEKDAY(EDATE($H$194,$D$209*COUNT($H$194:H198)),3)&lt;5,EDATE($H$194,$D$209*COUNT($H$194:H198)),WORKDAY(EDATE($H$194,$D$209*COUNT($H$194:H198)),1)))</f>
        <v>43643</v>
      </c>
      <c r="I199" s="137" t="s">
        <v>7</v>
      </c>
      <c r="J199" s="52">
        <f t="shared" si="8"/>
        <v>12182.64840182648</v>
      </c>
      <c r="K199" s="52">
        <f t="shared" si="9"/>
        <v>0</v>
      </c>
      <c r="L199" s="53">
        <f t="shared" si="10"/>
        <v>666666.66666666651</v>
      </c>
      <c r="M199" s="103">
        <f t="shared" si="11"/>
        <v>12182.64840182648</v>
      </c>
      <c r="N199" s="25"/>
      <c r="O199" s="97">
        <f t="shared" si="12"/>
        <v>-584963.47031963465</v>
      </c>
    </row>
    <row r="200" spans="1:15" ht="15.95" customHeight="1" x14ac:dyDescent="0.25">
      <c r="A200" s="121"/>
      <c r="B200" s="23"/>
      <c r="C200" s="268" t="s">
        <v>36</v>
      </c>
      <c r="D200" s="269"/>
      <c r="E200" s="36"/>
      <c r="F200" s="36"/>
      <c r="G200" s="89"/>
      <c r="H200" s="51">
        <f>IF(DAY(H199)=DAY($H$194),IF(WEEKDAY(EDATE(H199,$D$209),3)&lt;5,EDATE(H199,$D$209),WORKDAY(EDATE(H199,$D$209),1)),IF(WEEKDAY(EDATE($H$194,$D$209*COUNT($H$194:H199)),3)&lt;5,EDATE($H$194,$D$209*COUNT($H$194:H199)),WORKDAY(EDATE($H$194,$D$209*COUNT($H$194:H199)),1)))</f>
        <v>43735</v>
      </c>
      <c r="I200" s="137" t="s">
        <v>7</v>
      </c>
      <c r="J200" s="52">
        <f t="shared" si="8"/>
        <v>12182.64840182648</v>
      </c>
      <c r="K200" s="52">
        <f t="shared" si="9"/>
        <v>0</v>
      </c>
      <c r="L200" s="53">
        <f t="shared" si="10"/>
        <v>666666.66666666651</v>
      </c>
      <c r="M200" s="103">
        <f t="shared" si="11"/>
        <v>12182.64840182648</v>
      </c>
      <c r="N200" s="25"/>
      <c r="O200" s="97">
        <f t="shared" si="12"/>
        <v>-572780.82191780815</v>
      </c>
    </row>
    <row r="201" spans="1:15" ht="15.95" customHeight="1" x14ac:dyDescent="0.25">
      <c r="A201" s="121"/>
      <c r="B201" s="23"/>
      <c r="C201" s="59"/>
      <c r="D201" s="62"/>
      <c r="E201" s="36"/>
      <c r="F201" s="36"/>
      <c r="G201" s="89"/>
      <c r="H201" s="51">
        <f>IF(DAY(H200)=DAY($H$194),IF(WEEKDAY(EDATE(H200,$D$209),3)&lt;5,EDATE(H200,$D$209),WORKDAY(EDATE(H200,$D$209),1)),IF(WEEKDAY(EDATE($H$194,$D$209*COUNT($H$194:H200)),3)&lt;5,EDATE($H$194,$D$209*COUNT($H$194:H200)),WORKDAY(EDATE($H$194,$D$209*COUNT($H$194:H200)),1)))</f>
        <v>43826</v>
      </c>
      <c r="I201" s="137" t="s">
        <v>13</v>
      </c>
      <c r="J201" s="52">
        <f t="shared" si="8"/>
        <v>12050.22831050228</v>
      </c>
      <c r="K201" s="52">
        <f t="shared" si="9"/>
        <v>166666.66666666669</v>
      </c>
      <c r="L201" s="53">
        <f t="shared" si="10"/>
        <v>499999.99999999983</v>
      </c>
      <c r="M201" s="103">
        <f t="shared" si="11"/>
        <v>178716.89497716897</v>
      </c>
      <c r="N201" s="25"/>
      <c r="O201" s="97">
        <f t="shared" si="12"/>
        <v>-394063.92694063915</v>
      </c>
    </row>
    <row r="202" spans="1:15" ht="15.95" customHeight="1" x14ac:dyDescent="0.25">
      <c r="A202" s="121"/>
      <c r="B202" s="23"/>
      <c r="C202" s="59" t="s">
        <v>9</v>
      </c>
      <c r="D202" s="129" t="s">
        <v>49</v>
      </c>
      <c r="E202" s="36"/>
      <c r="F202" s="36"/>
      <c r="G202" s="89"/>
      <c r="H202" s="51">
        <f>IF(DAY(H201)=DAY($H$194),IF(WEEKDAY(EDATE(H201,$D$209),3)&lt;5,EDATE(H201,$D$209),WORKDAY(EDATE(H201,$D$209),1)),IF(WEEKDAY(EDATE($H$194,$D$209*COUNT($H$194:H201)),3)&lt;5,EDATE($H$194,$D$209*COUNT($H$194:H201)),WORKDAY(EDATE($H$194,$D$209*COUNT($H$194:H201)),1)))</f>
        <v>43917</v>
      </c>
      <c r="I202" s="137" t="s">
        <v>13</v>
      </c>
      <c r="J202" s="52">
        <f t="shared" si="8"/>
        <v>9037.671232876708</v>
      </c>
      <c r="K202" s="52">
        <f t="shared" si="9"/>
        <v>166666.66666666669</v>
      </c>
      <c r="L202" s="53">
        <f t="shared" si="10"/>
        <v>333333.33333333314</v>
      </c>
      <c r="M202" s="103">
        <f t="shared" si="11"/>
        <v>175704.3378995434</v>
      </c>
      <c r="N202" s="25"/>
      <c r="O202" s="97">
        <f t="shared" si="12"/>
        <v>-218359.58904109575</v>
      </c>
    </row>
    <row r="203" spans="1:15" ht="15.95" customHeight="1" x14ac:dyDescent="0.25">
      <c r="A203" s="121"/>
      <c r="B203" s="23"/>
      <c r="C203" s="59" t="s">
        <v>51</v>
      </c>
      <c r="D203" s="138" t="s">
        <v>49</v>
      </c>
      <c r="E203" s="36"/>
      <c r="F203" s="36"/>
      <c r="G203" s="89"/>
      <c r="H203" s="51">
        <f>IF(DAY(H202)=DAY($H$194),IF(WEEKDAY(EDATE(H202,$D$209),3)&lt;5,EDATE(H202,$D$209),WORKDAY(EDATE(H202,$D$209),1)),IF(WEEKDAY(EDATE($H$194,$D$209*COUNT($H$194:H202)),3)&lt;5,EDATE($H$194,$D$209*COUNT($H$194:H202)),WORKDAY(EDATE($H$194,$D$209*COUNT($H$194:H202)),1)))</f>
        <v>44011</v>
      </c>
      <c r="I203" s="137" t="s">
        <v>7</v>
      </c>
      <c r="J203" s="52">
        <f t="shared" si="8"/>
        <v>6223.7442922374385</v>
      </c>
      <c r="K203" s="52">
        <f t="shared" si="9"/>
        <v>0</v>
      </c>
      <c r="L203" s="53">
        <f t="shared" si="10"/>
        <v>333333.33333333314</v>
      </c>
      <c r="M203" s="103">
        <f t="shared" si="11"/>
        <v>6223.7442922374385</v>
      </c>
      <c r="N203" s="25"/>
      <c r="O203" s="97">
        <f t="shared" si="12"/>
        <v>-212135.8447488583</v>
      </c>
    </row>
    <row r="204" spans="1:15" ht="15.95" customHeight="1" x14ac:dyDescent="0.25">
      <c r="A204" s="121"/>
      <c r="B204" s="23"/>
      <c r="C204" s="59" t="s">
        <v>52</v>
      </c>
      <c r="D204" s="138" t="s">
        <v>49</v>
      </c>
      <c r="E204" s="36"/>
      <c r="F204" s="36"/>
      <c r="G204" s="89"/>
      <c r="H204" s="51">
        <f>IF(DAY(H203)=DAY($H$194),IF(WEEKDAY(EDATE(H203,$D$209),3)&lt;5,EDATE(H203,$D$209),WORKDAY(EDATE(H203,$D$209),1)),IF(WEEKDAY(EDATE($H$194,$D$209*COUNT($H$194:H203)),3)&lt;5,EDATE($H$194,$D$209*COUNT($H$194:H203)),WORKDAY(EDATE($H$194,$D$209*COUNT($H$194:H203)),1)))</f>
        <v>44102</v>
      </c>
      <c r="I204" s="137" t="s">
        <v>7</v>
      </c>
      <c r="J204" s="52">
        <f t="shared" si="8"/>
        <v>6025.1141552511372</v>
      </c>
      <c r="K204" s="52">
        <f t="shared" si="9"/>
        <v>0</v>
      </c>
      <c r="L204" s="53">
        <f t="shared" si="10"/>
        <v>333333.33333333314</v>
      </c>
      <c r="M204" s="103">
        <f t="shared" si="11"/>
        <v>6025.1141552511372</v>
      </c>
      <c r="N204" s="25"/>
      <c r="O204" s="97">
        <f t="shared" si="12"/>
        <v>-206110.73059360718</v>
      </c>
    </row>
    <row r="205" spans="1:15" ht="15.95" customHeight="1" x14ac:dyDescent="0.25">
      <c r="A205" s="121"/>
      <c r="B205" s="23"/>
      <c r="C205" s="59" t="s">
        <v>10</v>
      </c>
      <c r="D205" s="139">
        <v>43186</v>
      </c>
      <c r="E205" s="36"/>
      <c r="F205" s="24"/>
      <c r="G205" s="89"/>
      <c r="H205" s="51">
        <f>IF(DAY(H204)=DAY($H$194),IF(WEEKDAY(EDATE(H204,$D$209),3)&lt;5,EDATE(H204,$D$209),WORKDAY(EDATE(H204,$D$209),1)),IF(WEEKDAY(EDATE($H$194,$D$209*COUNT($H$194:H204)),3)&lt;5,EDATE($H$194,$D$209*COUNT($H$194:H204)),WORKDAY(EDATE($H$194,$D$209*COUNT($H$194:H204)),1)))</f>
        <v>44193</v>
      </c>
      <c r="I205" s="137" t="s">
        <v>13</v>
      </c>
      <c r="J205" s="52">
        <f t="shared" si="8"/>
        <v>6025.1141552511372</v>
      </c>
      <c r="K205" s="52">
        <f t="shared" si="9"/>
        <v>166666.66666666669</v>
      </c>
      <c r="L205" s="53">
        <f t="shared" si="10"/>
        <v>166666.66666666645</v>
      </c>
      <c r="M205" s="103">
        <f t="shared" si="11"/>
        <v>172691.78082191781</v>
      </c>
      <c r="N205" s="25"/>
      <c r="O205" s="97">
        <f t="shared" si="12"/>
        <v>-33418.949771689367</v>
      </c>
    </row>
    <row r="206" spans="1:15" ht="15.95" customHeight="1" x14ac:dyDescent="0.25">
      <c r="A206" s="121"/>
      <c r="B206" s="23"/>
      <c r="C206" s="59" t="s">
        <v>11</v>
      </c>
      <c r="D206" s="139">
        <v>43186</v>
      </c>
      <c r="E206" s="41"/>
      <c r="F206" s="24"/>
      <c r="G206" s="90"/>
      <c r="H206" s="51">
        <f>IF(DAY(H205)=DAY($H$194),IF(WEEKDAY(EDATE(H205,$D$209),3)&lt;5,EDATE(H205,$D$209),WORKDAY(EDATE(H205,$D$209),1)),IF(WEEKDAY(EDATE($H$194,$D$209*COUNT($H$194:H205)),3)&lt;5,EDATE($H$194,$D$209*COUNT($H$194:H205)),WORKDAY(EDATE($H$194,$D$209*COUNT($H$194:H205)),1)))</f>
        <v>44284</v>
      </c>
      <c r="I206" s="137" t="s">
        <v>13</v>
      </c>
      <c r="J206" s="52">
        <f t="shared" si="8"/>
        <v>3012.5570776255668</v>
      </c>
      <c r="K206" s="52">
        <f t="shared" si="9"/>
        <v>166666.66666666669</v>
      </c>
      <c r="L206" s="53">
        <f t="shared" si="10"/>
        <v>-2.3283064365386963E-10</v>
      </c>
      <c r="M206" s="103">
        <f t="shared" si="11"/>
        <v>169679.22374429225</v>
      </c>
      <c r="N206" s="25"/>
      <c r="O206" s="97">
        <f t="shared" si="12"/>
        <v>136260.27397260288</v>
      </c>
    </row>
    <row r="207" spans="1:15" ht="15.95" customHeight="1" x14ac:dyDescent="0.25">
      <c r="A207" s="121"/>
      <c r="B207" s="23"/>
      <c r="C207" s="59" t="s">
        <v>12</v>
      </c>
      <c r="D207" s="139">
        <v>44282</v>
      </c>
      <c r="E207" s="36"/>
      <c r="F207" s="24"/>
      <c r="G207" s="90"/>
      <c r="H207" s="54"/>
      <c r="I207" s="144"/>
      <c r="J207" s="105"/>
      <c r="K207" s="105"/>
      <c r="L207" s="106"/>
      <c r="M207" s="107"/>
      <c r="N207" s="25"/>
    </row>
    <row r="208" spans="1:15" ht="15.95" customHeight="1" x14ac:dyDescent="0.25">
      <c r="A208" s="121"/>
      <c r="B208" s="23"/>
      <c r="C208" s="59" t="s">
        <v>27</v>
      </c>
      <c r="D208" s="140">
        <v>1000000</v>
      </c>
      <c r="E208" s="43"/>
      <c r="F208" s="24"/>
      <c r="G208" s="90"/>
      <c r="H208" s="24"/>
      <c r="I208" s="24"/>
      <c r="J208" s="24"/>
      <c r="K208" s="24"/>
      <c r="L208" s="24"/>
      <c r="M208" s="24"/>
      <c r="N208" s="25"/>
    </row>
    <row r="209" spans="1:14" ht="15.95" customHeight="1" x14ac:dyDescent="0.25">
      <c r="A209" s="121"/>
      <c r="B209" s="23"/>
      <c r="C209" s="59" t="s">
        <v>142</v>
      </c>
      <c r="D209" s="140">
        <v>3</v>
      </c>
      <c r="E209" s="43"/>
      <c r="F209" s="24"/>
      <c r="G209" s="90"/>
      <c r="H209" s="680" t="s">
        <v>43</v>
      </c>
      <c r="I209" s="680"/>
      <c r="J209" s="92">
        <v>0</v>
      </c>
      <c r="K209" s="92"/>
      <c r="L209" s="24"/>
      <c r="M209" s="24"/>
      <c r="N209" s="25"/>
    </row>
    <row r="210" spans="1:14" ht="15.95" customHeight="1" x14ac:dyDescent="0.25">
      <c r="A210" s="121"/>
      <c r="B210" s="23"/>
      <c r="C210" s="59" t="s">
        <v>26</v>
      </c>
      <c r="D210" s="140">
        <v>3</v>
      </c>
      <c r="E210" s="43"/>
      <c r="F210" s="24"/>
      <c r="G210" s="90"/>
      <c r="H210" s="657"/>
      <c r="I210" s="657"/>
      <c r="J210" s="392"/>
      <c r="K210" s="24"/>
      <c r="L210" s="33"/>
      <c r="M210" s="33"/>
      <c r="N210" s="25"/>
    </row>
    <row r="211" spans="1:14" ht="15.95" customHeight="1" x14ac:dyDescent="0.25">
      <c r="A211" s="121"/>
      <c r="B211" s="23"/>
      <c r="C211" s="59" t="s">
        <v>19</v>
      </c>
      <c r="D211" s="141" t="s">
        <v>50</v>
      </c>
      <c r="E211" s="43"/>
      <c r="F211" s="24"/>
      <c r="G211" s="90"/>
      <c r="H211" s="24"/>
      <c r="I211" s="24"/>
      <c r="J211" s="24"/>
      <c r="K211" s="24"/>
      <c r="L211" s="24"/>
      <c r="M211" s="24"/>
      <c r="N211" s="25"/>
    </row>
    <row r="212" spans="1:14" ht="15.95" customHeight="1" x14ac:dyDescent="0.25">
      <c r="A212" s="121"/>
      <c r="B212" s="23"/>
      <c r="C212" s="59" t="s">
        <v>14</v>
      </c>
      <c r="D212" s="142">
        <v>7.2499999999999995E-2</v>
      </c>
      <c r="E212" s="44"/>
      <c r="F212" s="24"/>
      <c r="G212" s="90"/>
      <c r="H212" s="638" t="s">
        <v>44</v>
      </c>
      <c r="I212" s="639"/>
      <c r="J212" s="639"/>
      <c r="K212" s="639"/>
      <c r="L212" s="639"/>
      <c r="M212" s="640"/>
      <c r="N212" s="25"/>
    </row>
    <row r="213" spans="1:14" ht="15.95" customHeight="1" x14ac:dyDescent="0.25">
      <c r="A213" s="121"/>
      <c r="B213" s="23"/>
      <c r="C213" s="59" t="s">
        <v>21</v>
      </c>
      <c r="D213" s="143">
        <v>0.16666666666666669</v>
      </c>
      <c r="E213" s="24"/>
      <c r="F213" s="24"/>
      <c r="G213" s="90"/>
      <c r="H213" s="23"/>
      <c r="I213" s="24"/>
      <c r="J213" s="24"/>
      <c r="K213" s="24"/>
      <c r="L213" s="24"/>
      <c r="M213" s="25"/>
      <c r="N213" s="25"/>
    </row>
    <row r="214" spans="1:14" ht="15.95" customHeight="1" x14ac:dyDescent="0.25">
      <c r="A214" s="121"/>
      <c r="B214" s="23"/>
      <c r="C214" s="63"/>
      <c r="D214" s="145"/>
      <c r="E214" s="24"/>
      <c r="F214" s="24"/>
      <c r="G214" s="90"/>
      <c r="H214" s="23"/>
      <c r="I214" s="24"/>
      <c r="J214" s="24"/>
      <c r="K214" s="24"/>
      <c r="L214" s="24"/>
      <c r="M214" s="25"/>
      <c r="N214" s="25"/>
    </row>
    <row r="215" spans="1:14" ht="15.95" customHeight="1" x14ac:dyDescent="0.25">
      <c r="A215" s="121"/>
      <c r="B215" s="23"/>
      <c r="C215" s="24"/>
      <c r="D215" s="24"/>
      <c r="E215" s="24"/>
      <c r="F215" s="24"/>
      <c r="G215" s="90"/>
      <c r="H215" s="96"/>
      <c r="I215" s="35"/>
      <c r="J215" s="24"/>
      <c r="K215" s="24"/>
      <c r="L215" s="24"/>
      <c r="M215" s="25"/>
      <c r="N215" s="25"/>
    </row>
    <row r="216" spans="1:14" ht="15.95" customHeight="1" x14ac:dyDescent="0.25">
      <c r="A216" s="121"/>
      <c r="B216" s="23"/>
      <c r="C216" s="24"/>
      <c r="D216" s="24"/>
      <c r="E216" s="24"/>
      <c r="F216" s="24"/>
      <c r="G216" s="90"/>
      <c r="H216" s="23"/>
      <c r="I216" s="24"/>
      <c r="J216" s="24"/>
      <c r="K216" s="24"/>
      <c r="L216" s="24"/>
      <c r="M216" s="25"/>
      <c r="N216" s="25"/>
    </row>
    <row r="217" spans="1:14" ht="15.95" customHeight="1" x14ac:dyDescent="0.25">
      <c r="A217" s="121"/>
      <c r="B217" s="23"/>
      <c r="C217" s="24"/>
      <c r="D217" s="24"/>
      <c r="E217" s="24"/>
      <c r="F217" s="24"/>
      <c r="G217" s="90"/>
      <c r="H217" s="23"/>
      <c r="I217" s="24"/>
      <c r="J217" s="24"/>
      <c r="K217" s="24"/>
      <c r="L217" s="24"/>
      <c r="M217" s="25"/>
      <c r="N217" s="25"/>
    </row>
    <row r="218" spans="1:14" ht="15.95" customHeight="1" x14ac:dyDescent="0.25">
      <c r="A218" s="121"/>
      <c r="B218" s="23"/>
      <c r="C218" s="24"/>
      <c r="D218" s="24"/>
      <c r="E218" s="24"/>
      <c r="F218" s="24"/>
      <c r="G218" s="90"/>
      <c r="H218" s="23"/>
      <c r="I218" s="24"/>
      <c r="J218" s="24"/>
      <c r="K218" s="24"/>
      <c r="L218" s="24"/>
      <c r="M218" s="25"/>
      <c r="N218" s="25"/>
    </row>
    <row r="219" spans="1:14" ht="15.95" customHeight="1" x14ac:dyDescent="0.25">
      <c r="A219" s="121"/>
      <c r="B219" s="23"/>
      <c r="C219" s="24"/>
      <c r="D219" s="24"/>
      <c r="E219" s="24"/>
      <c r="F219" s="24"/>
      <c r="G219" s="90"/>
      <c r="H219" s="23"/>
      <c r="I219" s="24"/>
      <c r="J219" s="24"/>
      <c r="K219" s="24"/>
      <c r="L219" s="24"/>
      <c r="M219" s="25"/>
      <c r="N219" s="25"/>
    </row>
    <row r="220" spans="1:14" ht="15.95" customHeight="1" x14ac:dyDescent="0.25">
      <c r="A220" s="121"/>
      <c r="B220" s="23"/>
      <c r="C220" s="24"/>
      <c r="D220" s="24"/>
      <c r="E220" s="24"/>
      <c r="F220" s="24"/>
      <c r="G220" s="90"/>
      <c r="H220" s="23"/>
      <c r="I220" s="24"/>
      <c r="J220" s="24"/>
      <c r="K220" s="24"/>
      <c r="L220" s="24"/>
      <c r="M220" s="25"/>
      <c r="N220" s="25"/>
    </row>
    <row r="221" spans="1:14" ht="15.95" customHeight="1" x14ac:dyDescent="0.25">
      <c r="A221" s="121"/>
      <c r="B221" s="23"/>
      <c r="C221" s="24"/>
      <c r="D221" s="24"/>
      <c r="E221" s="24"/>
      <c r="F221" s="24"/>
      <c r="G221" s="90"/>
      <c r="H221" s="23"/>
      <c r="I221" s="24"/>
      <c r="J221" s="24"/>
      <c r="K221" s="24"/>
      <c r="L221" s="24"/>
      <c r="M221" s="25"/>
      <c r="N221" s="25"/>
    </row>
    <row r="222" spans="1:14" ht="15.95" customHeight="1" x14ac:dyDescent="0.25">
      <c r="A222" s="121"/>
      <c r="B222" s="23"/>
      <c r="C222" s="24"/>
      <c r="D222" s="24"/>
      <c r="E222" s="24"/>
      <c r="F222" s="24"/>
      <c r="G222" s="90"/>
      <c r="H222" s="23"/>
      <c r="I222" s="24"/>
      <c r="J222" s="24"/>
      <c r="K222" s="24"/>
      <c r="L222" s="24"/>
      <c r="M222" s="25"/>
      <c r="N222" s="25"/>
    </row>
    <row r="223" spans="1:14" ht="15.95" customHeight="1" x14ac:dyDescent="0.25">
      <c r="A223" s="121"/>
      <c r="B223" s="23"/>
      <c r="C223" s="24"/>
      <c r="D223" s="24"/>
      <c r="E223" s="24"/>
      <c r="F223" s="24"/>
      <c r="G223" s="90"/>
      <c r="H223" s="23"/>
      <c r="I223" s="24"/>
      <c r="J223" s="24"/>
      <c r="K223" s="24"/>
      <c r="L223" s="24"/>
      <c r="M223" s="25"/>
      <c r="N223" s="25"/>
    </row>
    <row r="224" spans="1:14" ht="15.95" customHeight="1" x14ac:dyDescent="0.25">
      <c r="A224" s="121"/>
      <c r="B224" s="23"/>
      <c r="C224" s="24"/>
      <c r="D224" s="24"/>
      <c r="E224" s="24"/>
      <c r="F224" s="24"/>
      <c r="G224" s="90"/>
      <c r="H224" s="26"/>
      <c r="I224" s="27"/>
      <c r="J224" s="27"/>
      <c r="K224" s="27"/>
      <c r="L224" s="27"/>
      <c r="M224" s="28"/>
      <c r="N224" s="25"/>
    </row>
    <row r="225" spans="1:14" ht="15.95" customHeight="1" x14ac:dyDescent="0.25">
      <c r="A225" s="121"/>
      <c r="B225" s="23"/>
      <c r="C225" s="24"/>
      <c r="D225" s="24"/>
      <c r="E225" s="24"/>
      <c r="F225" s="24"/>
      <c r="G225" s="90"/>
      <c r="H225" s="27"/>
      <c r="I225" s="27"/>
      <c r="J225" s="27"/>
      <c r="K225" s="27"/>
      <c r="L225" s="27"/>
      <c r="M225" s="27"/>
      <c r="N225" s="25"/>
    </row>
    <row r="226" spans="1:14" ht="15.95" customHeight="1" x14ac:dyDescent="0.25">
      <c r="A226" s="121"/>
      <c r="B226" s="23"/>
      <c r="C226" s="24"/>
      <c r="D226" s="24"/>
      <c r="E226" s="24"/>
      <c r="F226" s="24"/>
      <c r="G226" s="24"/>
      <c r="H226" s="24"/>
      <c r="I226" s="24"/>
      <c r="J226" s="24"/>
      <c r="K226" s="24"/>
      <c r="L226" s="24"/>
      <c r="M226" s="24"/>
      <c r="N226" s="25"/>
    </row>
    <row r="227" spans="1:14" ht="15.95" customHeight="1" x14ac:dyDescent="0.25">
      <c r="A227" s="121"/>
      <c r="B227" s="683" t="s">
        <v>524</v>
      </c>
      <c r="C227" s="684"/>
      <c r="D227" s="684"/>
      <c r="E227" s="684"/>
      <c r="F227" s="684"/>
      <c r="G227" s="684"/>
      <c r="H227" s="684"/>
      <c r="I227" s="684"/>
      <c r="J227" s="684"/>
      <c r="K227" s="684"/>
      <c r="L227" s="684"/>
      <c r="M227" s="684"/>
      <c r="N227" s="685"/>
    </row>
    <row r="228" spans="1:14" ht="15.95" customHeight="1" x14ac:dyDescent="0.25">
      <c r="A228" s="121"/>
      <c r="B228" s="23"/>
      <c r="C228" s="24"/>
      <c r="D228" s="24"/>
      <c r="E228" s="24"/>
      <c r="F228" s="31"/>
      <c r="G228" s="87"/>
      <c r="H228" s="31"/>
      <c r="I228" s="31"/>
      <c r="J228" s="24"/>
      <c r="K228" s="24"/>
      <c r="L228" s="24"/>
      <c r="M228" s="24"/>
      <c r="N228" s="25"/>
    </row>
    <row r="229" spans="1:14" ht="15.95" customHeight="1" x14ac:dyDescent="0.25">
      <c r="A229" s="121"/>
      <c r="B229" s="23"/>
      <c r="C229" s="638" t="s">
        <v>37</v>
      </c>
      <c r="D229" s="639"/>
      <c r="E229" s="640"/>
      <c r="F229" s="31"/>
      <c r="G229" s="87"/>
      <c r="H229" s="641" t="s">
        <v>28</v>
      </c>
      <c r="I229" s="642"/>
      <c r="J229" s="39">
        <f>D250-SUMIF(H236:H243,"&lt;"&amp;$M$4,K236:K243)</f>
        <v>333333.33333333326</v>
      </c>
      <c r="K229" s="24"/>
      <c r="L229" s="24"/>
      <c r="M229" s="24"/>
      <c r="N229" s="25"/>
    </row>
    <row r="230" spans="1:14" ht="15.95" customHeight="1" x14ac:dyDescent="0.25">
      <c r="A230" s="121"/>
      <c r="B230" s="23"/>
      <c r="C230" s="58"/>
      <c r="D230" s="664"/>
      <c r="E230" s="665"/>
      <c r="F230" s="31"/>
      <c r="G230" s="87"/>
      <c r="H230" s="645" t="s">
        <v>29</v>
      </c>
      <c r="I230" s="646"/>
      <c r="J230" s="40">
        <f>+$D$249</f>
        <v>46172</v>
      </c>
      <c r="K230" s="24"/>
      <c r="L230" s="24"/>
      <c r="M230" s="24"/>
      <c r="N230" s="25"/>
    </row>
    <row r="231" spans="1:14" ht="15.95" customHeight="1" x14ac:dyDescent="0.25">
      <c r="A231" s="121"/>
      <c r="B231" s="23"/>
      <c r="C231" s="59" t="s">
        <v>25</v>
      </c>
      <c r="D231" s="681"/>
      <c r="E231" s="682"/>
      <c r="F231" s="31"/>
      <c r="G231" s="87"/>
      <c r="H231" s="649" t="s">
        <v>30</v>
      </c>
      <c r="I231" s="650"/>
      <c r="J231" s="42">
        <f>+COUPNCD($M$4,J230,4,3)+182</f>
        <v>46081</v>
      </c>
      <c r="K231" s="24"/>
      <c r="L231" s="24"/>
      <c r="M231" s="24"/>
      <c r="N231" s="25"/>
    </row>
    <row r="232" spans="1:14" ht="15.95" customHeight="1" x14ac:dyDescent="0.25">
      <c r="A232" s="121"/>
      <c r="B232" s="23"/>
      <c r="C232" s="59" t="s">
        <v>6</v>
      </c>
      <c r="D232" s="681" t="s">
        <v>90</v>
      </c>
      <c r="E232" s="682"/>
      <c r="F232" s="31"/>
      <c r="G232" s="87"/>
      <c r="H232" s="24"/>
      <c r="I232" s="24"/>
      <c r="J232" s="24"/>
      <c r="K232" s="24"/>
      <c r="L232" s="24"/>
      <c r="M232" s="24"/>
      <c r="N232" s="25"/>
    </row>
    <row r="233" spans="1:14" ht="15.95" customHeight="1" x14ac:dyDescent="0.25">
      <c r="A233" s="121"/>
      <c r="B233" s="23"/>
      <c r="C233" s="59" t="s">
        <v>8</v>
      </c>
      <c r="D233" s="681" t="s">
        <v>17</v>
      </c>
      <c r="E233" s="682"/>
      <c r="F233" s="31"/>
      <c r="G233" s="87"/>
      <c r="H233" s="677" t="s">
        <v>41</v>
      </c>
      <c r="I233" s="678"/>
      <c r="J233" s="678"/>
      <c r="K233" s="678"/>
      <c r="L233" s="679"/>
      <c r="M233" s="24"/>
      <c r="N233" s="25"/>
    </row>
    <row r="234" spans="1:14" ht="15.95" customHeight="1" x14ac:dyDescent="0.25">
      <c r="A234" s="121"/>
      <c r="B234" s="23"/>
      <c r="C234" s="59" t="s">
        <v>33</v>
      </c>
      <c r="D234" s="132" t="s">
        <v>325</v>
      </c>
      <c r="E234" s="274">
        <v>1</v>
      </c>
      <c r="F234" s="281">
        <f>+E234*$J$229</f>
        <v>333333.33333333326</v>
      </c>
      <c r="G234" s="87"/>
      <c r="H234" s="146" t="s">
        <v>0</v>
      </c>
      <c r="I234" s="147" t="s">
        <v>2</v>
      </c>
      <c r="J234" s="147" t="s">
        <v>3</v>
      </c>
      <c r="K234" s="147" t="s">
        <v>4</v>
      </c>
      <c r="L234" s="148" t="s">
        <v>5</v>
      </c>
      <c r="M234" s="148" t="s">
        <v>44</v>
      </c>
      <c r="N234" s="25"/>
    </row>
    <row r="235" spans="1:14" ht="15.95" customHeight="1" x14ac:dyDescent="0.25">
      <c r="A235" s="121"/>
      <c r="B235" s="23"/>
      <c r="C235" s="59" t="s">
        <v>33</v>
      </c>
      <c r="D235" s="132"/>
      <c r="E235" s="274"/>
      <c r="F235" s="281">
        <f>+E235*$J$187</f>
        <v>0</v>
      </c>
      <c r="G235" s="87"/>
      <c r="H235" s="45"/>
      <c r="I235" s="46"/>
      <c r="J235" s="46"/>
      <c r="K235" s="46"/>
      <c r="L235" s="47"/>
      <c r="M235" s="101"/>
      <c r="N235" s="25"/>
    </row>
    <row r="236" spans="1:14" ht="15.95" customHeight="1" x14ac:dyDescent="0.25">
      <c r="A236" s="121"/>
      <c r="B236" s="23"/>
      <c r="C236" s="59" t="s">
        <v>34</v>
      </c>
      <c r="D236" s="681" t="s">
        <v>35</v>
      </c>
      <c r="E236" s="682"/>
      <c r="F236" s="31"/>
      <c r="G236" s="87"/>
      <c r="H236" s="48">
        <f>+$D$248</f>
        <v>45076</v>
      </c>
      <c r="I236" s="136"/>
      <c r="J236" s="49"/>
      <c r="K236" s="49"/>
      <c r="L236" s="50">
        <f>+D250</f>
        <v>1000000</v>
      </c>
      <c r="M236" s="102">
        <f>-L236</f>
        <v>-1000000</v>
      </c>
      <c r="N236" s="25"/>
    </row>
    <row r="237" spans="1:14" ht="15.95" customHeight="1" x14ac:dyDescent="0.25">
      <c r="A237" s="121"/>
      <c r="B237" s="23"/>
      <c r="C237" s="79" t="s">
        <v>38</v>
      </c>
      <c r="D237" s="130"/>
      <c r="E237" s="131"/>
      <c r="F237" s="31"/>
      <c r="G237" s="87"/>
      <c r="H237" s="51">
        <v>45350</v>
      </c>
      <c r="I237" s="137" t="s">
        <v>13</v>
      </c>
      <c r="J237" s="52">
        <f>+(($D$254/365)*(H237-H236))*L236</f>
        <v>0</v>
      </c>
      <c r="K237" s="52">
        <f t="shared" ref="K237:K242" si="13">+IF(OR(I237="A + C",I237="A"),$L$194*$D$213,0)</f>
        <v>166666.66666666669</v>
      </c>
      <c r="L237" s="53">
        <f t="shared" ref="L237:L242" si="14">+L236-K237</f>
        <v>833333.33333333326</v>
      </c>
      <c r="M237" s="103">
        <f t="shared" ref="M237:M242" si="15">+J237+K237</f>
        <v>166666.66666666669</v>
      </c>
      <c r="N237" s="25"/>
    </row>
    <row r="238" spans="1:14" ht="15.95" customHeight="1" x14ac:dyDescent="0.25">
      <c r="A238" s="121"/>
      <c r="B238" s="23"/>
      <c r="C238" s="59"/>
      <c r="D238" s="132"/>
      <c r="E238" s="133"/>
      <c r="F238" s="34"/>
      <c r="G238" s="88"/>
      <c r="H238" s="51">
        <v>45442</v>
      </c>
      <c r="I238" s="137" t="s">
        <v>13</v>
      </c>
      <c r="J238" s="52">
        <f t="shared" ref="J238:J242" si="16">+(($D$254/365)*(H238-H237))*L237</f>
        <v>0</v>
      </c>
      <c r="K238" s="52">
        <f t="shared" si="13"/>
        <v>166666.66666666669</v>
      </c>
      <c r="L238" s="53">
        <f t="shared" si="14"/>
        <v>666666.66666666651</v>
      </c>
      <c r="M238" s="103">
        <f t="shared" si="15"/>
        <v>166666.66666666669</v>
      </c>
      <c r="N238" s="25"/>
    </row>
    <row r="239" spans="1:14" ht="15.95" customHeight="1" x14ac:dyDescent="0.25">
      <c r="A239" s="121"/>
      <c r="B239" s="23"/>
      <c r="C239" s="60"/>
      <c r="D239" s="134"/>
      <c r="E239" s="135"/>
      <c r="F239" s="34"/>
      <c r="G239" s="88"/>
      <c r="H239" s="51">
        <v>45716</v>
      </c>
      <c r="I239" s="137" t="s">
        <v>13</v>
      </c>
      <c r="J239" s="52">
        <f t="shared" si="16"/>
        <v>0</v>
      </c>
      <c r="K239" s="52">
        <f t="shared" si="13"/>
        <v>166666.66666666669</v>
      </c>
      <c r="L239" s="53">
        <f t="shared" si="14"/>
        <v>499999.99999999983</v>
      </c>
      <c r="M239" s="103">
        <f t="shared" si="15"/>
        <v>166666.66666666669</v>
      </c>
      <c r="N239" s="25"/>
    </row>
    <row r="240" spans="1:14" ht="15.95" customHeight="1" x14ac:dyDescent="0.25">
      <c r="A240" s="121"/>
      <c r="B240" s="32"/>
      <c r="C240" s="60"/>
      <c r="D240" s="275"/>
      <c r="E240" s="276"/>
      <c r="F240" s="34"/>
      <c r="G240" s="88"/>
      <c r="H240" s="51">
        <v>45807</v>
      </c>
      <c r="I240" s="137" t="s">
        <v>13</v>
      </c>
      <c r="J240" s="52">
        <f t="shared" si="16"/>
        <v>0</v>
      </c>
      <c r="K240" s="52">
        <f t="shared" si="13"/>
        <v>166666.66666666669</v>
      </c>
      <c r="L240" s="53">
        <f t="shared" si="14"/>
        <v>333333.33333333314</v>
      </c>
      <c r="M240" s="103">
        <f t="shared" si="15"/>
        <v>166666.66666666669</v>
      </c>
      <c r="N240" s="25"/>
    </row>
    <row r="241" spans="1:15" ht="15.95" customHeight="1" x14ac:dyDescent="0.25">
      <c r="A241" s="121"/>
      <c r="B241" s="23"/>
      <c r="D241" s="277" t="str">
        <f>B227</f>
        <v>Antas del Dorado II</v>
      </c>
      <c r="E241" s="277"/>
      <c r="F241" s="34"/>
      <c r="G241" s="89">
        <f>J229</f>
        <v>333333.33333333326</v>
      </c>
      <c r="H241" s="51">
        <v>46081</v>
      </c>
      <c r="I241" s="137" t="s">
        <v>13</v>
      </c>
      <c r="J241" s="52">
        <f t="shared" si="16"/>
        <v>0</v>
      </c>
      <c r="K241" s="52">
        <f t="shared" si="13"/>
        <v>166666.66666666669</v>
      </c>
      <c r="L241" s="53">
        <f t="shared" si="14"/>
        <v>166666.66666666645</v>
      </c>
      <c r="M241" s="103">
        <f t="shared" si="15"/>
        <v>166666.66666666669</v>
      </c>
      <c r="N241" s="25"/>
    </row>
    <row r="242" spans="1:15" ht="15.95" customHeight="1" x14ac:dyDescent="0.25">
      <c r="A242" s="121"/>
      <c r="B242" s="23"/>
      <c r="C242" s="268" t="s">
        <v>36</v>
      </c>
      <c r="D242" s="269"/>
      <c r="E242" s="36"/>
      <c r="F242" s="36"/>
      <c r="G242" s="89"/>
      <c r="H242" s="51">
        <v>46172</v>
      </c>
      <c r="I242" s="137" t="s">
        <v>13</v>
      </c>
      <c r="J242" s="52">
        <f t="shared" si="16"/>
        <v>0</v>
      </c>
      <c r="K242" s="52">
        <f t="shared" si="13"/>
        <v>166666.66666666669</v>
      </c>
      <c r="L242" s="53">
        <f t="shared" si="14"/>
        <v>-2.3283064365386963E-10</v>
      </c>
      <c r="M242" s="103">
        <f t="shared" si="15"/>
        <v>166666.66666666669</v>
      </c>
      <c r="N242" s="25"/>
    </row>
    <row r="243" spans="1:15" ht="15.95" customHeight="1" x14ac:dyDescent="0.25">
      <c r="A243" s="121"/>
      <c r="B243" s="23"/>
      <c r="C243" s="59"/>
      <c r="D243" s="62"/>
      <c r="E243" s="36"/>
      <c r="F243" s="36"/>
      <c r="G243" s="89"/>
      <c r="H243" s="51"/>
      <c r="I243" s="137"/>
      <c r="J243" s="52"/>
      <c r="K243" s="52"/>
      <c r="L243" s="53"/>
      <c r="M243" s="103"/>
      <c r="N243" s="25"/>
    </row>
    <row r="244" spans="1:15" ht="15.95" customHeight="1" x14ac:dyDescent="0.25">
      <c r="A244" s="121"/>
      <c r="B244" s="23"/>
      <c r="C244" s="59" t="s">
        <v>9</v>
      </c>
      <c r="D244" s="129" t="s">
        <v>49</v>
      </c>
      <c r="E244" s="36"/>
      <c r="F244" s="36"/>
      <c r="G244" s="89"/>
      <c r="H244" s="35"/>
      <c r="I244" s="24"/>
      <c r="J244" s="109"/>
      <c r="K244" s="109"/>
      <c r="L244" s="109"/>
      <c r="M244" s="109"/>
      <c r="N244" s="25"/>
    </row>
    <row r="245" spans="1:15" ht="20.100000000000001" customHeight="1" x14ac:dyDescent="0.25">
      <c r="A245" s="121"/>
      <c r="B245" s="23"/>
      <c r="C245" s="59" t="s">
        <v>51</v>
      </c>
      <c r="D245" s="138" t="s">
        <v>18</v>
      </c>
      <c r="E245" s="36"/>
      <c r="F245" s="36"/>
      <c r="G245" s="89"/>
      <c r="H245" s="35"/>
      <c r="I245" s="272"/>
      <c r="J245" s="109"/>
      <c r="K245" s="109"/>
      <c r="L245" s="109"/>
      <c r="M245" s="109"/>
      <c r="N245" s="25"/>
    </row>
    <row r="246" spans="1:15" ht="15.95" customHeight="1" x14ac:dyDescent="0.25">
      <c r="A246" s="121"/>
      <c r="B246" s="23"/>
      <c r="C246" s="59" t="s">
        <v>52</v>
      </c>
      <c r="D246" s="138" t="s">
        <v>49</v>
      </c>
      <c r="E246" s="36"/>
      <c r="F246" s="36"/>
      <c r="G246" s="89"/>
      <c r="H246" s="680" t="s">
        <v>43</v>
      </c>
      <c r="I246" s="680"/>
      <c r="J246" s="92">
        <f>J229</f>
        <v>333333.33333333326</v>
      </c>
      <c r="K246" s="92"/>
      <c r="L246" s="24"/>
      <c r="M246" s="24"/>
      <c r="N246" s="25"/>
    </row>
    <row r="247" spans="1:15" ht="15.95" customHeight="1" x14ac:dyDescent="0.25">
      <c r="A247" s="121"/>
      <c r="B247" s="23"/>
      <c r="C247" s="59" t="s">
        <v>10</v>
      </c>
      <c r="D247" s="139">
        <v>45069</v>
      </c>
      <c r="E247" s="36"/>
      <c r="F247" s="24"/>
      <c r="G247" s="89"/>
      <c r="H247" s="511"/>
      <c r="I247" s="511"/>
      <c r="J247" s="392"/>
      <c r="K247" s="24"/>
      <c r="L247" s="33"/>
      <c r="M247" s="33"/>
      <c r="N247" s="25"/>
      <c r="O247" s="194" t="str">
        <f>+D313</f>
        <v>ON Pyme CNV Garantizada</v>
      </c>
    </row>
    <row r="248" spans="1:15" ht="15.95" customHeight="1" x14ac:dyDescent="0.25">
      <c r="A248" s="121"/>
      <c r="B248" s="23"/>
      <c r="C248" s="59" t="s">
        <v>11</v>
      </c>
      <c r="D248" s="139">
        <v>45076</v>
      </c>
      <c r="E248" s="41"/>
      <c r="F248" s="24"/>
      <c r="G248" s="90"/>
      <c r="H248" s="24"/>
      <c r="I248" s="24"/>
      <c r="J248" s="24"/>
      <c r="K248" s="24"/>
      <c r="L248" s="24"/>
      <c r="M248" s="24"/>
      <c r="N248" s="25"/>
    </row>
    <row r="249" spans="1:15" ht="15.95" customHeight="1" x14ac:dyDescent="0.25">
      <c r="A249" s="121"/>
      <c r="B249" s="23"/>
      <c r="C249" s="59" t="s">
        <v>12</v>
      </c>
      <c r="D249" s="139">
        <v>46172</v>
      </c>
      <c r="E249" s="36"/>
      <c r="F249" s="24"/>
      <c r="G249" s="90"/>
      <c r="H249" s="268" t="s">
        <v>44</v>
      </c>
      <c r="I249" s="510"/>
      <c r="J249" s="510"/>
      <c r="K249" s="510"/>
      <c r="L249" s="510"/>
      <c r="M249" s="269"/>
      <c r="N249" s="25"/>
      <c r="O249" s="194" t="str">
        <f>+IF(J311="vencida",IF(D313='Reporte - Oscuro'!$C$40,'Reporte - Oscuro'!$C$40&amp;" vencida",IF(D313='Reporte - Oscuro'!$C$41,'Reporte - Oscuro'!$C$41&amp;" vencida",IF(D313='Reporte - Oscuro'!$C$42,'Reporte - Oscuro'!$C$42&amp;" vencida",'Reporte - Oscuro'!$C$43&amp;" vencida"))),D313&amp;" vigente")</f>
        <v>ON Pyme CNV Garantizada vencida</v>
      </c>
    </row>
    <row r="250" spans="1:15" ht="15.95" customHeight="1" x14ac:dyDescent="0.25">
      <c r="A250" s="121"/>
      <c r="B250" s="23"/>
      <c r="C250" s="59" t="s">
        <v>27</v>
      </c>
      <c r="D250" s="140">
        <v>1000000</v>
      </c>
      <c r="E250" s="43"/>
      <c r="F250" s="24"/>
      <c r="G250" s="90"/>
      <c r="H250" s="23"/>
      <c r="I250" s="24"/>
      <c r="J250" s="24"/>
      <c r="K250" s="24"/>
      <c r="L250" s="24"/>
      <c r="M250" s="25"/>
      <c r="N250" s="25"/>
    </row>
    <row r="251" spans="1:15" ht="15.95" customHeight="1" x14ac:dyDescent="0.25">
      <c r="A251" s="121"/>
      <c r="B251" s="23"/>
      <c r="C251" s="59" t="s">
        <v>142</v>
      </c>
      <c r="D251" s="140">
        <v>0</v>
      </c>
      <c r="E251" s="43"/>
      <c r="F251" s="24"/>
      <c r="G251" s="90"/>
      <c r="H251" s="23"/>
      <c r="I251" s="24"/>
      <c r="J251" s="24"/>
      <c r="K251" s="24"/>
      <c r="L251" s="24"/>
      <c r="M251" s="25"/>
      <c r="N251" s="25"/>
    </row>
    <row r="252" spans="1:15" ht="15.95" customHeight="1" x14ac:dyDescent="0.25">
      <c r="A252" s="121"/>
      <c r="B252" s="23"/>
      <c r="C252" s="59" t="s">
        <v>26</v>
      </c>
      <c r="D252" s="140">
        <v>0</v>
      </c>
      <c r="E252" s="43"/>
      <c r="F252" s="24"/>
      <c r="G252" s="90"/>
      <c r="H252" s="96"/>
      <c r="I252" s="35"/>
      <c r="J252" s="24"/>
      <c r="K252" s="24"/>
      <c r="L252" s="24"/>
      <c r="M252" s="25"/>
      <c r="N252" s="25"/>
    </row>
    <row r="253" spans="1:15" ht="15.95" customHeight="1" x14ac:dyDescent="0.25">
      <c r="A253" s="121"/>
      <c r="B253" s="23"/>
      <c r="C253" s="59" t="s">
        <v>19</v>
      </c>
      <c r="D253" s="141" t="s">
        <v>50</v>
      </c>
      <c r="E253" s="43"/>
      <c r="F253" s="24"/>
      <c r="G253" s="90"/>
      <c r="H253" s="23"/>
      <c r="I253" s="24"/>
      <c r="J253" s="24"/>
      <c r="K253" s="24"/>
      <c r="L253" s="24"/>
      <c r="M253" s="25"/>
      <c r="N253" s="25"/>
    </row>
    <row r="254" spans="1:15" ht="15.95" customHeight="1" x14ac:dyDescent="0.25">
      <c r="A254" s="121"/>
      <c r="B254" s="23"/>
      <c r="C254" s="59" t="s">
        <v>14</v>
      </c>
      <c r="D254" s="142">
        <v>0</v>
      </c>
      <c r="E254" s="44"/>
      <c r="F254" s="24"/>
      <c r="G254" s="90"/>
      <c r="H254" s="23"/>
      <c r="I254" s="24"/>
      <c r="J254" s="24"/>
      <c r="K254" s="24"/>
      <c r="L254" s="24"/>
      <c r="M254" s="25"/>
      <c r="N254" s="25"/>
      <c r="O254" s="97">
        <f>+M316</f>
        <v>-500000</v>
      </c>
    </row>
    <row r="255" spans="1:15" ht="15.95" customHeight="1" x14ac:dyDescent="0.25">
      <c r="A255" s="121"/>
      <c r="B255" s="23"/>
      <c r="C255" s="59" t="s">
        <v>21</v>
      </c>
      <c r="D255" s="143">
        <v>0.16666666666666669</v>
      </c>
      <c r="E255" s="24"/>
      <c r="F255" s="24"/>
      <c r="G255" s="90"/>
      <c r="H255" s="23"/>
      <c r="I255" s="24"/>
      <c r="J255" s="24"/>
      <c r="K255" s="24"/>
      <c r="L255" s="24"/>
      <c r="M255" s="25"/>
      <c r="N255" s="25"/>
      <c r="O255" s="97">
        <f>+M317+O254</f>
        <v>-472575.34246575343</v>
      </c>
    </row>
    <row r="256" spans="1:15" ht="15.95" customHeight="1" x14ac:dyDescent="0.25">
      <c r="A256" s="121"/>
      <c r="B256" s="23"/>
      <c r="C256" s="63"/>
      <c r="D256" s="145"/>
      <c r="E256" s="24"/>
      <c r="F256" s="24"/>
      <c r="G256" s="90"/>
      <c r="H256" s="23"/>
      <c r="I256" s="24"/>
      <c r="J256" s="24"/>
      <c r="K256" s="24"/>
      <c r="L256" s="24"/>
      <c r="M256" s="25"/>
      <c r="N256" s="25"/>
      <c r="O256" s="97">
        <f>+M318+O255</f>
        <v>-444698.63013698632</v>
      </c>
    </row>
    <row r="257" spans="1:15" ht="15.95" customHeight="1" x14ac:dyDescent="0.25">
      <c r="A257" s="121"/>
      <c r="B257" s="23"/>
      <c r="C257" s="24"/>
      <c r="D257" s="24"/>
      <c r="E257" s="24"/>
      <c r="F257" s="24"/>
      <c r="G257" s="90"/>
      <c r="H257" s="23"/>
      <c r="I257" s="24"/>
      <c r="J257" s="24"/>
      <c r="K257" s="24"/>
      <c r="L257" s="24"/>
      <c r="M257" s="25"/>
      <c r="N257" s="25"/>
      <c r="O257" s="97">
        <f>+M319+O256</f>
        <v>-417273.97260273976</v>
      </c>
    </row>
    <row r="258" spans="1:15" ht="15.95" customHeight="1" x14ac:dyDescent="0.25">
      <c r="A258" s="121"/>
      <c r="B258" s="23"/>
      <c r="C258" s="24"/>
      <c r="D258" s="24"/>
      <c r="E258" s="24"/>
      <c r="F258" s="24"/>
      <c r="G258" s="90"/>
      <c r="H258" s="23"/>
      <c r="I258" s="24"/>
      <c r="J258" s="24"/>
      <c r="K258" s="24"/>
      <c r="L258" s="24"/>
      <c r="M258" s="25"/>
      <c r="N258" s="25"/>
      <c r="O258" s="97">
        <f>+M320+O257</f>
        <v>110150.68493150681</v>
      </c>
    </row>
    <row r="259" spans="1:15" ht="15.95" customHeight="1" x14ac:dyDescent="0.25">
      <c r="A259" s="121"/>
      <c r="B259" s="23"/>
      <c r="C259" s="24"/>
      <c r="D259" s="24"/>
      <c r="E259" s="24"/>
      <c r="F259" s="24"/>
      <c r="G259" s="90"/>
      <c r="H259" s="23"/>
      <c r="I259" s="24"/>
      <c r="J259" s="24"/>
      <c r="K259" s="24"/>
      <c r="L259" s="24"/>
      <c r="M259" s="25"/>
      <c r="N259" s="25"/>
    </row>
    <row r="260" spans="1:15" ht="15.95" customHeight="1" x14ac:dyDescent="0.25">
      <c r="A260" s="121"/>
      <c r="B260" s="23"/>
      <c r="C260" s="24"/>
      <c r="D260" s="24"/>
      <c r="E260" s="24"/>
      <c r="F260" s="24"/>
      <c r="G260" s="90"/>
      <c r="H260" s="23"/>
      <c r="I260" s="24"/>
      <c r="J260" s="24"/>
      <c r="K260" s="24"/>
      <c r="L260" s="24"/>
      <c r="M260" s="25"/>
      <c r="N260" s="25"/>
    </row>
    <row r="261" spans="1:15" ht="15.95" customHeight="1" x14ac:dyDescent="0.25">
      <c r="A261" s="121"/>
      <c r="B261" s="23"/>
      <c r="C261" s="24"/>
      <c r="D261" s="24"/>
      <c r="E261" s="24"/>
      <c r="F261" s="24"/>
      <c r="G261" s="90"/>
      <c r="H261" s="26"/>
      <c r="I261" s="27"/>
      <c r="J261" s="27"/>
      <c r="K261" s="27"/>
      <c r="L261" s="27"/>
      <c r="M261" s="28"/>
      <c r="N261" s="25"/>
    </row>
    <row r="262" spans="1:15" ht="15.95" customHeight="1" x14ac:dyDescent="0.25">
      <c r="A262" s="121"/>
      <c r="B262" s="23"/>
      <c r="C262" s="24"/>
      <c r="D262" s="24"/>
      <c r="E262" s="24"/>
      <c r="F262" s="24"/>
      <c r="G262" s="90"/>
      <c r="N262" s="25"/>
    </row>
    <row r="263" spans="1:15" ht="15.95" customHeight="1" x14ac:dyDescent="0.25">
      <c r="A263" s="121"/>
      <c r="B263" s="23"/>
      <c r="C263" s="24"/>
      <c r="D263" s="24"/>
      <c r="E263" s="24"/>
      <c r="F263" s="24"/>
      <c r="G263" s="90"/>
      <c r="N263" s="25"/>
    </row>
    <row r="264" spans="1:15" ht="15.95" customHeight="1" x14ac:dyDescent="0.25">
      <c r="A264" s="122" t="s">
        <v>7</v>
      </c>
      <c r="B264" s="686" t="s">
        <v>392</v>
      </c>
      <c r="C264" s="687"/>
      <c r="D264" s="687"/>
      <c r="E264" s="687"/>
      <c r="F264" s="687"/>
      <c r="G264" s="687"/>
      <c r="H264" s="687"/>
      <c r="I264" s="687"/>
      <c r="J264" s="687"/>
      <c r="K264" s="687"/>
      <c r="L264" s="687"/>
      <c r="M264" s="687"/>
      <c r="N264" s="688"/>
      <c r="O264" s="194" t="str">
        <f>+D347</f>
        <v>ON Pyme CNV Garantizada</v>
      </c>
    </row>
    <row r="265" spans="1:15" ht="15.95" customHeight="1" x14ac:dyDescent="0.25">
      <c r="A265" s="121"/>
      <c r="B265" s="23"/>
      <c r="C265" s="24"/>
      <c r="D265" s="24"/>
      <c r="E265" s="24"/>
      <c r="F265" s="31"/>
      <c r="G265" s="87"/>
      <c r="H265" s="31"/>
      <c r="I265" s="31"/>
      <c r="J265" s="24"/>
      <c r="K265" s="24"/>
      <c r="L265" s="24"/>
      <c r="M265" s="24"/>
      <c r="N265" s="25"/>
    </row>
    <row r="266" spans="1:15" ht="15.95" customHeight="1" x14ac:dyDescent="0.25">
      <c r="A266" s="121"/>
      <c r="B266" s="23"/>
      <c r="C266" s="638" t="s">
        <v>37</v>
      </c>
      <c r="D266" s="639"/>
      <c r="E266" s="640"/>
      <c r="F266" s="31"/>
      <c r="G266" s="87"/>
      <c r="H266" s="641" t="s">
        <v>28</v>
      </c>
      <c r="I266" s="642"/>
      <c r="J266" s="39">
        <v>0</v>
      </c>
      <c r="K266" s="24"/>
      <c r="L266" s="24"/>
      <c r="M266" s="24"/>
      <c r="N266" s="25"/>
      <c r="O266" s="194" t="str">
        <f>+IF(J345="vencida",IF(D347='Reporte - Oscuro'!$C$40,'Reporte - Oscuro'!$C$40&amp;" vencida",IF(D347='Reporte - Oscuro'!$C$41,'Reporte - Oscuro'!$C$41&amp;" vencida",IF(D347='Reporte - Oscuro'!$C$42,'Reporte - Oscuro'!$C$42&amp;" vencida",'Reporte - Oscuro'!$C$43&amp;" vencida"))),D347&amp;" vigente")</f>
        <v>ON Pyme CNV Garantizada vencida</v>
      </c>
    </row>
    <row r="267" spans="1:15" ht="15.95" customHeight="1" x14ac:dyDescent="0.25">
      <c r="A267" s="121"/>
      <c r="B267" s="23"/>
      <c r="C267" s="58"/>
      <c r="D267" s="643"/>
      <c r="E267" s="644"/>
      <c r="F267" s="31"/>
      <c r="G267" s="87"/>
      <c r="H267" s="645" t="s">
        <v>29</v>
      </c>
      <c r="I267" s="646"/>
      <c r="J267" s="40">
        <f>D285</f>
        <v>45312</v>
      </c>
      <c r="K267" s="24"/>
      <c r="L267" s="24"/>
      <c r="M267" s="24"/>
      <c r="N267" s="25"/>
    </row>
    <row r="268" spans="1:15" ht="15.95" customHeight="1" x14ac:dyDescent="0.25">
      <c r="A268" s="121"/>
      <c r="B268" s="23"/>
      <c r="C268" s="59" t="s">
        <v>25</v>
      </c>
      <c r="D268" s="691"/>
      <c r="E268" s="692"/>
      <c r="F268" s="31"/>
      <c r="G268" s="87"/>
      <c r="H268" s="649" t="s">
        <v>30</v>
      </c>
      <c r="I268" s="650"/>
      <c r="J268" s="42" t="s">
        <v>523</v>
      </c>
      <c r="K268" s="24"/>
      <c r="L268" s="24"/>
      <c r="M268" s="24"/>
      <c r="N268" s="25"/>
    </row>
    <row r="269" spans="1:15" ht="15.95" customHeight="1" x14ac:dyDescent="0.25">
      <c r="A269" s="121"/>
      <c r="B269" s="23"/>
      <c r="C269" s="59" t="s">
        <v>6</v>
      </c>
      <c r="D269" s="691" t="s">
        <v>399</v>
      </c>
      <c r="E269" s="692"/>
      <c r="F269" s="31"/>
      <c r="G269" s="87"/>
      <c r="H269" s="24"/>
      <c r="I269" s="24"/>
      <c r="J269" s="24"/>
      <c r="K269" s="24"/>
      <c r="L269" s="24"/>
      <c r="M269" s="24"/>
      <c r="N269" s="25"/>
    </row>
    <row r="270" spans="1:15" ht="15.95" customHeight="1" x14ac:dyDescent="0.25">
      <c r="A270" s="121"/>
      <c r="B270" s="23"/>
      <c r="C270" s="59" t="s">
        <v>8</v>
      </c>
      <c r="D270" s="691" t="s">
        <v>61</v>
      </c>
      <c r="E270" s="692"/>
      <c r="F270" s="31"/>
      <c r="G270" s="87"/>
      <c r="H270" s="651" t="s">
        <v>41</v>
      </c>
      <c r="I270" s="652"/>
      <c r="J270" s="652"/>
      <c r="K270" s="652"/>
      <c r="L270" s="653"/>
      <c r="M270" s="24"/>
      <c r="N270" s="25"/>
    </row>
    <row r="271" spans="1:15" ht="15.95" customHeight="1" x14ac:dyDescent="0.25">
      <c r="A271" s="121"/>
      <c r="B271" s="23"/>
      <c r="C271" s="59" t="s">
        <v>33</v>
      </c>
      <c r="D271" s="132"/>
      <c r="E271" s="274"/>
      <c r="F271" s="281">
        <f>+E271*J266</f>
        <v>0</v>
      </c>
      <c r="G271" s="87"/>
      <c r="H271" s="126" t="s">
        <v>0</v>
      </c>
      <c r="I271" s="127" t="s">
        <v>2</v>
      </c>
      <c r="J271" s="127" t="s">
        <v>3</v>
      </c>
      <c r="K271" s="127" t="s">
        <v>4</v>
      </c>
      <c r="L271" s="128" t="s">
        <v>5</v>
      </c>
      <c r="M271" s="127" t="s">
        <v>44</v>
      </c>
      <c r="N271" s="25"/>
      <c r="O271" s="97">
        <f>+M350</f>
        <v>-100000</v>
      </c>
    </row>
    <row r="272" spans="1:15" ht="15.95" customHeight="1" x14ac:dyDescent="0.25">
      <c r="A272" s="121"/>
      <c r="B272" s="23"/>
      <c r="C272" s="59" t="s">
        <v>34</v>
      </c>
      <c r="D272" s="689" t="s">
        <v>385</v>
      </c>
      <c r="E272" s="690"/>
      <c r="F272" s="31"/>
      <c r="G272" s="87"/>
      <c r="H272" s="45"/>
      <c r="I272" s="46"/>
      <c r="J272" s="46"/>
      <c r="K272" s="46"/>
      <c r="L272" s="47"/>
      <c r="M272" s="23"/>
      <c r="N272" s="25"/>
      <c r="O272" s="97">
        <f t="shared" ref="O272:O283" si="17">+M351+O271</f>
        <v>-89422.831050228313</v>
      </c>
    </row>
    <row r="273" spans="1:15" ht="15.95" customHeight="1" x14ac:dyDescent="0.25">
      <c r="A273" s="121"/>
      <c r="B273" s="23"/>
      <c r="C273" s="79" t="s">
        <v>38</v>
      </c>
      <c r="D273" s="130"/>
      <c r="E273" s="131"/>
      <c r="F273" s="31"/>
      <c r="G273" s="87"/>
      <c r="H273" s="48">
        <f>D284</f>
        <v>44217</v>
      </c>
      <c r="I273" s="46"/>
      <c r="J273" s="49"/>
      <c r="K273" s="49"/>
      <c r="L273" s="50">
        <f>+D286</f>
        <v>1004290</v>
      </c>
      <c r="M273" s="93">
        <f>-L273</f>
        <v>-1004290</v>
      </c>
      <c r="N273" s="25"/>
      <c r="O273" s="97">
        <f t="shared" si="17"/>
        <v>-79032.648401826489</v>
      </c>
    </row>
    <row r="274" spans="1:15" ht="15.95" customHeight="1" x14ac:dyDescent="0.25">
      <c r="A274" s="121"/>
      <c r="B274" s="23"/>
      <c r="C274" s="59"/>
      <c r="D274" s="132"/>
      <c r="E274" s="133"/>
      <c r="F274" s="31"/>
      <c r="G274" s="87"/>
      <c r="H274" s="51">
        <v>44307</v>
      </c>
      <c r="I274" s="415" t="s">
        <v>7</v>
      </c>
      <c r="J274" s="52">
        <f>+((D290/365)*(H274-H273))*L273</f>
        <v>17334.320547945208</v>
      </c>
      <c r="K274" s="52">
        <f>$L$124*$D$1238</f>
        <v>0</v>
      </c>
      <c r="L274" s="53">
        <f t="shared" ref="L274:L285" si="18">+L273-K274</f>
        <v>1004290</v>
      </c>
      <c r="M274" s="94">
        <f t="shared" ref="M274:M285" si="19">+J274+K274</f>
        <v>17334.320547945208</v>
      </c>
      <c r="N274" s="25"/>
      <c r="O274" s="97">
        <f t="shared" si="17"/>
        <v>-68829.452054794529</v>
      </c>
    </row>
    <row r="275" spans="1:15" ht="15.95" customHeight="1" x14ac:dyDescent="0.25">
      <c r="A275" s="121"/>
      <c r="B275" s="23"/>
      <c r="C275" s="60"/>
      <c r="D275" s="134"/>
      <c r="E275" s="135"/>
      <c r="F275" s="34"/>
      <c r="G275" s="88"/>
      <c r="H275" s="51">
        <v>44398</v>
      </c>
      <c r="I275" s="415" t="s">
        <v>7</v>
      </c>
      <c r="J275" s="52">
        <f>+((D290/365)*(H275-H274))*L274</f>
        <v>17526.924109589043</v>
      </c>
      <c r="K275" s="52">
        <v>0</v>
      </c>
      <c r="L275" s="53">
        <f t="shared" si="18"/>
        <v>1004290</v>
      </c>
      <c r="M275" s="94">
        <f t="shared" si="19"/>
        <v>17526.924109589043</v>
      </c>
      <c r="N275" s="25"/>
      <c r="O275" s="97">
        <f t="shared" si="17"/>
        <v>-58794.748858447492</v>
      </c>
    </row>
    <row r="276" spans="1:15" ht="15.95" customHeight="1" x14ac:dyDescent="0.25">
      <c r="A276" s="121"/>
      <c r="B276" s="23"/>
      <c r="C276" s="60"/>
      <c r="D276" s="55" t="str">
        <f>B264</f>
        <v>Capetrol I</v>
      </c>
      <c r="E276" s="64"/>
      <c r="F276" s="34"/>
      <c r="G276" s="88">
        <f>J266</f>
        <v>0</v>
      </c>
      <c r="H276" s="51">
        <v>44490</v>
      </c>
      <c r="I276" s="415" t="s">
        <v>7</v>
      </c>
      <c r="J276" s="52">
        <f>+((D290/365)*(H276-H275))*L275</f>
        <v>17719.527671232878</v>
      </c>
      <c r="K276" s="52">
        <v>0</v>
      </c>
      <c r="L276" s="53">
        <f t="shared" si="18"/>
        <v>1004290</v>
      </c>
      <c r="M276" s="94">
        <f t="shared" si="19"/>
        <v>17719.527671232878</v>
      </c>
      <c r="N276" s="25"/>
      <c r="O276" s="97">
        <f t="shared" si="17"/>
        <v>-48965.525114155258</v>
      </c>
    </row>
    <row r="277" spans="1:15" ht="15.95" customHeight="1" x14ac:dyDescent="0.25">
      <c r="A277" s="121"/>
      <c r="B277" s="32"/>
      <c r="D277" s="671"/>
      <c r="E277" s="671"/>
      <c r="F277" s="34"/>
      <c r="G277" s="88"/>
      <c r="H277" s="51">
        <v>44582</v>
      </c>
      <c r="I277" s="415" t="s">
        <v>7</v>
      </c>
      <c r="J277" s="52">
        <f>+((D290/365)*(H277-H276))*L276</f>
        <v>17719.527671232878</v>
      </c>
      <c r="K277" s="52">
        <v>0</v>
      </c>
      <c r="L277" s="53">
        <f t="shared" si="18"/>
        <v>1004290</v>
      </c>
      <c r="M277" s="94">
        <f t="shared" si="19"/>
        <v>17719.527671232878</v>
      </c>
      <c r="N277" s="25"/>
      <c r="O277" s="97">
        <f t="shared" si="17"/>
        <v>-39323.287671232887</v>
      </c>
    </row>
    <row r="278" spans="1:15" ht="15.95" customHeight="1" x14ac:dyDescent="0.25">
      <c r="A278" s="121"/>
      <c r="B278" s="23"/>
      <c r="C278" s="638" t="s">
        <v>36</v>
      </c>
      <c r="D278" s="640"/>
      <c r="E278" s="36"/>
      <c r="F278" s="34"/>
      <c r="G278" s="89"/>
      <c r="H278" s="51">
        <v>44672</v>
      </c>
      <c r="I278" s="415" t="s">
        <v>7</v>
      </c>
      <c r="J278" s="52">
        <f t="shared" ref="J278:J285" si="20">+(($D$290/365)*(H278-H277))*L277</f>
        <v>17334.320547945208</v>
      </c>
      <c r="K278" s="52">
        <v>0</v>
      </c>
      <c r="L278" s="53">
        <f t="shared" si="18"/>
        <v>1004290</v>
      </c>
      <c r="M278" s="94">
        <f t="shared" si="19"/>
        <v>17334.320547945208</v>
      </c>
      <c r="N278" s="25"/>
      <c r="O278" s="97">
        <f t="shared" si="17"/>
        <v>-29855.707762557089</v>
      </c>
    </row>
    <row r="279" spans="1:15" ht="15.95" customHeight="1" x14ac:dyDescent="0.25">
      <c r="A279" s="121"/>
      <c r="B279" s="23"/>
      <c r="C279" s="59"/>
      <c r="D279" s="62"/>
      <c r="E279" s="36"/>
      <c r="F279" s="36"/>
      <c r="G279" s="89"/>
      <c r="H279" s="51">
        <v>44763</v>
      </c>
      <c r="I279" s="415" t="s">
        <v>13</v>
      </c>
      <c r="J279" s="52">
        <f t="shared" si="20"/>
        <v>17526.924109589043</v>
      </c>
      <c r="K279" s="52">
        <f>$D$286*$D$291</f>
        <v>143469.85653000002</v>
      </c>
      <c r="L279" s="53">
        <f t="shared" si="18"/>
        <v>860820.14347000001</v>
      </c>
      <c r="M279" s="94">
        <f t="shared" si="19"/>
        <v>160996.78063958907</v>
      </c>
      <c r="N279" s="25"/>
      <c r="O279" s="97">
        <f t="shared" si="17"/>
        <v>-20577.168949771702</v>
      </c>
    </row>
    <row r="280" spans="1:15" ht="15.95" customHeight="1" x14ac:dyDescent="0.25">
      <c r="A280" s="121"/>
      <c r="B280" s="23"/>
      <c r="C280" s="59" t="s">
        <v>9</v>
      </c>
      <c r="D280" s="129" t="s">
        <v>49</v>
      </c>
      <c r="E280" s="36"/>
      <c r="F280" s="36"/>
      <c r="G280" s="89"/>
      <c r="H280" s="51">
        <v>44855</v>
      </c>
      <c r="I280" s="415" t="s">
        <v>13</v>
      </c>
      <c r="J280" s="52">
        <f t="shared" si="20"/>
        <v>15188.169106703564</v>
      </c>
      <c r="K280" s="52">
        <f t="shared" ref="K280:K285" si="21">$D$286*$D$291</f>
        <v>143469.85653000002</v>
      </c>
      <c r="L280" s="53">
        <f t="shared" si="18"/>
        <v>717350.28694000002</v>
      </c>
      <c r="M280" s="94">
        <f t="shared" si="19"/>
        <v>158658.02563670359</v>
      </c>
      <c r="N280" s="25"/>
      <c r="O280" s="97">
        <f t="shared" si="17"/>
        <v>-11495.890410958915</v>
      </c>
    </row>
    <row r="281" spans="1:15" ht="15.95" customHeight="1" x14ac:dyDescent="0.25">
      <c r="A281" s="121"/>
      <c r="B281" s="23"/>
      <c r="C281" s="59" t="s">
        <v>51</v>
      </c>
      <c r="D281" s="138" t="s">
        <v>235</v>
      </c>
      <c r="E281" s="36"/>
      <c r="F281" s="36"/>
      <c r="G281" s="89"/>
      <c r="H281" s="51">
        <v>44947</v>
      </c>
      <c r="I281" s="415" t="s">
        <v>13</v>
      </c>
      <c r="J281" s="52">
        <f t="shared" si="20"/>
        <v>12656.810542174249</v>
      </c>
      <c r="K281" s="52">
        <f t="shared" si="21"/>
        <v>143469.85653000002</v>
      </c>
      <c r="L281" s="53">
        <f t="shared" si="18"/>
        <v>573880.43041000003</v>
      </c>
      <c r="M281" s="94">
        <f t="shared" si="19"/>
        <v>156126.66707217426</v>
      </c>
      <c r="N281" s="25"/>
      <c r="O281" s="97">
        <f t="shared" si="17"/>
        <v>-2607.7625570776363</v>
      </c>
    </row>
    <row r="282" spans="1:15" ht="15.95" customHeight="1" x14ac:dyDescent="0.25">
      <c r="A282" s="121"/>
      <c r="B282" s="23"/>
      <c r="C282" s="59" t="s">
        <v>52</v>
      </c>
      <c r="D282" s="138" t="s">
        <v>49</v>
      </c>
      <c r="E282" s="36"/>
      <c r="F282" s="36"/>
      <c r="G282" s="89"/>
      <c r="H282" s="51">
        <v>45037</v>
      </c>
      <c r="I282" s="415" t="s">
        <v>13</v>
      </c>
      <c r="J282" s="52">
        <f t="shared" si="20"/>
        <v>9905.3334563917815</v>
      </c>
      <c r="K282" s="52">
        <f t="shared" si="21"/>
        <v>143469.85653000002</v>
      </c>
      <c r="L282" s="53">
        <f t="shared" si="18"/>
        <v>430410.57388000004</v>
      </c>
      <c r="M282" s="94">
        <f t="shared" si="19"/>
        <v>153375.18998639181</v>
      </c>
      <c r="N282" s="25"/>
      <c r="O282" s="97">
        <f t="shared" si="17"/>
        <v>6103.6529680365202</v>
      </c>
    </row>
    <row r="283" spans="1:15" ht="15.95" customHeight="1" x14ac:dyDescent="0.25">
      <c r="A283" s="121"/>
      <c r="B283" s="23"/>
      <c r="C283" s="59" t="s">
        <v>10</v>
      </c>
      <c r="D283" s="139">
        <v>44785</v>
      </c>
      <c r="E283" s="36"/>
      <c r="F283" s="36"/>
      <c r="G283" s="89"/>
      <c r="H283" s="51">
        <v>45128</v>
      </c>
      <c r="I283" s="415" t="s">
        <v>13</v>
      </c>
      <c r="J283" s="52">
        <f t="shared" si="20"/>
        <v>7511.548919494795</v>
      </c>
      <c r="K283" s="52">
        <f t="shared" si="21"/>
        <v>143469.85653000002</v>
      </c>
      <c r="L283" s="53">
        <f t="shared" si="18"/>
        <v>286940.71735000005</v>
      </c>
      <c r="M283" s="94">
        <f t="shared" si="19"/>
        <v>150981.40544949481</v>
      </c>
      <c r="N283" s="25"/>
      <c r="O283" s="97">
        <f t="shared" si="17"/>
        <v>14626.027397260264</v>
      </c>
    </row>
    <row r="284" spans="1:15" ht="15.95" customHeight="1" x14ac:dyDescent="0.25">
      <c r="A284" s="121"/>
      <c r="B284" s="23"/>
      <c r="C284" s="59" t="s">
        <v>11</v>
      </c>
      <c r="D284" s="139">
        <v>44217</v>
      </c>
      <c r="E284" s="41"/>
      <c r="F284" s="24"/>
      <c r="G284" s="89"/>
      <c r="H284" s="51">
        <v>45220</v>
      </c>
      <c r="I284" s="415" t="s">
        <v>13</v>
      </c>
      <c r="J284" s="52">
        <f t="shared" si="20"/>
        <v>5062.7348485863031</v>
      </c>
      <c r="K284" s="52">
        <f t="shared" si="21"/>
        <v>143469.85653000002</v>
      </c>
      <c r="L284" s="53">
        <f t="shared" si="18"/>
        <v>143470.86082000003</v>
      </c>
      <c r="M284" s="94">
        <f t="shared" si="19"/>
        <v>148532.59137858631</v>
      </c>
      <c r="N284" s="25"/>
    </row>
    <row r="285" spans="1:15" ht="15.95" customHeight="1" x14ac:dyDescent="0.25">
      <c r="A285" s="121"/>
      <c r="B285" s="23"/>
      <c r="C285" s="59" t="s">
        <v>12</v>
      </c>
      <c r="D285" s="139">
        <v>45312</v>
      </c>
      <c r="E285" s="36"/>
      <c r="F285" s="24"/>
      <c r="G285" s="89"/>
      <c r="H285" s="51">
        <v>45312</v>
      </c>
      <c r="I285" s="415" t="s">
        <v>13</v>
      </c>
      <c r="J285" s="52">
        <f t="shared" si="20"/>
        <v>2531.3762840569871</v>
      </c>
      <c r="K285" s="52">
        <f t="shared" si="21"/>
        <v>143469.85653000002</v>
      </c>
      <c r="L285" s="53">
        <f t="shared" si="18"/>
        <v>1.0042900000116788</v>
      </c>
      <c r="M285" s="94">
        <f t="shared" si="19"/>
        <v>146001.232814057</v>
      </c>
      <c r="N285" s="25"/>
    </row>
    <row r="286" spans="1:15" ht="15.95" customHeight="1" x14ac:dyDescent="0.25">
      <c r="A286" s="121"/>
      <c r="B286" s="23"/>
      <c r="C286" s="59" t="s">
        <v>27</v>
      </c>
      <c r="D286" s="140">
        <v>1004290</v>
      </c>
      <c r="E286" s="43"/>
      <c r="F286" s="24"/>
      <c r="G286" s="90"/>
      <c r="H286" s="24"/>
      <c r="I286" s="24"/>
      <c r="J286" s="24"/>
      <c r="K286" s="24"/>
      <c r="L286" s="24"/>
      <c r="M286" s="24"/>
      <c r="N286" s="25"/>
    </row>
    <row r="287" spans="1:15" ht="15.95" customHeight="1" x14ac:dyDescent="0.25">
      <c r="A287" s="121"/>
      <c r="B287" s="23"/>
      <c r="C287" s="59" t="s">
        <v>26</v>
      </c>
      <c r="D287" s="140">
        <v>3</v>
      </c>
      <c r="E287" s="43"/>
      <c r="F287" s="24"/>
      <c r="G287" s="90"/>
      <c r="H287" s="24"/>
      <c r="I287" s="24"/>
      <c r="J287" s="24"/>
      <c r="K287" s="24"/>
      <c r="L287" s="24"/>
      <c r="M287" s="24"/>
      <c r="N287" s="25"/>
    </row>
    <row r="288" spans="1:15" ht="15.95" customHeight="1" x14ac:dyDescent="0.25">
      <c r="A288" s="121"/>
      <c r="B288" s="23"/>
      <c r="C288" s="59"/>
      <c r="D288" s="140"/>
      <c r="E288" s="43"/>
      <c r="F288" s="24"/>
      <c r="G288" s="90"/>
      <c r="H288" s="24"/>
      <c r="I288" s="24"/>
      <c r="J288" s="24"/>
      <c r="K288" s="24"/>
      <c r="L288" s="24"/>
      <c r="M288" s="24"/>
      <c r="N288" s="25"/>
    </row>
    <row r="289" spans="1:14" ht="15.95" customHeight="1" x14ac:dyDescent="0.25">
      <c r="A289" s="121"/>
      <c r="B289" s="23"/>
      <c r="C289" s="59" t="s">
        <v>19</v>
      </c>
      <c r="D289" s="141" t="s">
        <v>50</v>
      </c>
      <c r="E289" s="43"/>
      <c r="F289" s="24"/>
      <c r="G289" s="90"/>
      <c r="H289" s="24"/>
      <c r="I289" s="24"/>
      <c r="J289" s="24"/>
      <c r="K289" s="24"/>
      <c r="L289" s="24"/>
      <c r="M289" s="24"/>
      <c r="N289" s="25"/>
    </row>
    <row r="290" spans="1:14" ht="15.95" customHeight="1" x14ac:dyDescent="0.25">
      <c r="A290" s="121"/>
      <c r="B290" s="23"/>
      <c r="C290" s="59" t="s">
        <v>14</v>
      </c>
      <c r="D290" s="142">
        <v>7.0000000000000007E-2</v>
      </c>
      <c r="E290" s="44"/>
      <c r="F290" s="24"/>
      <c r="G290" s="90"/>
      <c r="H290" s="680" t="s">
        <v>43</v>
      </c>
      <c r="I290" s="680"/>
      <c r="J290" s="92">
        <f>+J266+(L285*D290)*($M$4-H285)/365</f>
        <v>0.10573935534369538</v>
      </c>
      <c r="K290" s="92"/>
      <c r="L290" s="24"/>
      <c r="M290" s="24"/>
      <c r="N290" s="25"/>
    </row>
    <row r="291" spans="1:14" ht="15.95" customHeight="1" x14ac:dyDescent="0.25">
      <c r="A291" s="121"/>
      <c r="B291" s="23"/>
      <c r="C291" s="59" t="s">
        <v>72</v>
      </c>
      <c r="D291" s="143">
        <v>0.14285700000000001</v>
      </c>
      <c r="E291" s="24"/>
      <c r="F291" s="24"/>
      <c r="G291" s="90"/>
      <c r="H291" s="657"/>
      <c r="I291" s="657"/>
      <c r="J291" s="392"/>
      <c r="K291" s="24"/>
      <c r="L291" s="33"/>
      <c r="M291" s="33"/>
      <c r="N291" s="25"/>
    </row>
    <row r="292" spans="1:14" ht="15.95" customHeight="1" x14ac:dyDescent="0.25">
      <c r="A292" s="121"/>
      <c r="B292" s="23"/>
      <c r="C292" s="63"/>
      <c r="D292" s="145"/>
      <c r="E292" s="24"/>
      <c r="F292" s="24"/>
      <c r="G292" s="90"/>
      <c r="H292" s="24"/>
      <c r="I292" s="24"/>
      <c r="J292" s="24"/>
      <c r="K292" s="24"/>
      <c r="L292" s="24"/>
      <c r="M292" s="24"/>
      <c r="N292" s="25"/>
    </row>
    <row r="293" spans="1:14" ht="15.95" customHeight="1" x14ac:dyDescent="0.25">
      <c r="A293" s="121"/>
      <c r="B293" s="23"/>
      <c r="C293" s="24"/>
      <c r="D293" s="24"/>
      <c r="E293" s="24"/>
      <c r="F293" s="24"/>
      <c r="G293" s="90"/>
      <c r="H293" s="638" t="s">
        <v>44</v>
      </c>
      <c r="I293" s="639"/>
      <c r="J293" s="639"/>
      <c r="K293" s="639"/>
      <c r="L293" s="639"/>
      <c r="M293" s="640"/>
      <c r="N293" s="25"/>
    </row>
    <row r="294" spans="1:14" ht="15.95" customHeight="1" x14ac:dyDescent="0.25">
      <c r="A294" s="121"/>
      <c r="B294" s="23"/>
      <c r="C294" s="24"/>
      <c r="D294" s="24"/>
      <c r="E294" s="24"/>
      <c r="F294" s="24"/>
      <c r="G294" s="90"/>
      <c r="H294" s="23"/>
      <c r="I294" s="24"/>
      <c r="J294" s="24"/>
      <c r="K294" s="24"/>
      <c r="L294" s="24"/>
      <c r="M294" s="25"/>
      <c r="N294" s="25"/>
    </row>
    <row r="295" spans="1:14" ht="15.95" customHeight="1" x14ac:dyDescent="0.25">
      <c r="A295" s="121"/>
      <c r="B295" s="23"/>
      <c r="C295" s="24"/>
      <c r="D295" s="24"/>
      <c r="E295" s="24"/>
      <c r="F295" s="24"/>
      <c r="G295" s="90"/>
      <c r="H295" s="23"/>
      <c r="I295" s="24"/>
      <c r="J295" s="24"/>
      <c r="K295" s="24"/>
      <c r="L295" s="24"/>
      <c r="M295" s="25"/>
      <c r="N295" s="25"/>
    </row>
    <row r="296" spans="1:14" ht="15.95" customHeight="1" x14ac:dyDescent="0.25">
      <c r="A296" s="121"/>
      <c r="B296" s="23"/>
      <c r="C296" s="24"/>
      <c r="D296" s="24"/>
      <c r="E296" s="24"/>
      <c r="F296" s="24"/>
      <c r="G296" s="90"/>
      <c r="H296" s="96"/>
      <c r="I296" s="35"/>
      <c r="J296" s="24"/>
      <c r="K296" s="24"/>
      <c r="L296" s="24"/>
      <c r="M296" s="25"/>
      <c r="N296" s="25"/>
    </row>
    <row r="297" spans="1:14" ht="15.95" customHeight="1" x14ac:dyDescent="0.25">
      <c r="A297" s="121"/>
      <c r="B297" s="23"/>
      <c r="C297" s="24"/>
      <c r="D297" s="24"/>
      <c r="E297" s="24"/>
      <c r="F297" s="24"/>
      <c r="G297" s="90"/>
      <c r="H297" s="23"/>
      <c r="I297" s="24"/>
      <c r="J297" s="24"/>
      <c r="K297" s="24"/>
      <c r="L297" s="24"/>
      <c r="M297" s="25"/>
      <c r="N297" s="25"/>
    </row>
    <row r="298" spans="1:14" ht="15.95" customHeight="1" x14ac:dyDescent="0.25">
      <c r="A298" s="121"/>
      <c r="B298" s="23"/>
      <c r="C298" s="24"/>
      <c r="D298" s="24"/>
      <c r="E298" s="24"/>
      <c r="F298" s="24"/>
      <c r="G298" s="90"/>
      <c r="H298" s="23"/>
      <c r="I298" s="24"/>
      <c r="J298" s="24"/>
      <c r="K298" s="24"/>
      <c r="L298" s="24"/>
      <c r="M298" s="25"/>
      <c r="N298" s="25"/>
    </row>
    <row r="299" spans="1:14" ht="15.95" customHeight="1" x14ac:dyDescent="0.25">
      <c r="A299" s="121"/>
      <c r="B299" s="23"/>
      <c r="C299" s="24"/>
      <c r="D299" s="24"/>
      <c r="E299" s="24"/>
      <c r="F299" s="24"/>
      <c r="G299" s="90"/>
      <c r="H299" s="23"/>
      <c r="I299" s="24"/>
      <c r="J299" s="24"/>
      <c r="K299" s="24"/>
      <c r="L299" s="24"/>
      <c r="M299" s="25"/>
      <c r="N299" s="25"/>
    </row>
    <row r="300" spans="1:14" ht="15.95" customHeight="1" x14ac:dyDescent="0.25">
      <c r="A300" s="121"/>
      <c r="B300" s="23"/>
      <c r="C300" s="24"/>
      <c r="D300" s="24"/>
      <c r="E300" s="24"/>
      <c r="F300" s="24"/>
      <c r="G300" s="90"/>
      <c r="H300" s="23"/>
      <c r="I300" s="24"/>
      <c r="J300" s="24"/>
      <c r="K300" s="24"/>
      <c r="L300" s="24"/>
      <c r="M300" s="25"/>
      <c r="N300" s="25"/>
    </row>
    <row r="301" spans="1:14" ht="15.95" customHeight="1" x14ac:dyDescent="0.25">
      <c r="A301" s="121"/>
      <c r="B301" s="23"/>
      <c r="C301" s="24"/>
      <c r="D301" s="24"/>
      <c r="E301" s="24"/>
      <c r="F301" s="24"/>
      <c r="G301" s="90"/>
      <c r="H301" s="23"/>
      <c r="I301" s="24"/>
      <c r="J301" s="24"/>
      <c r="K301" s="24"/>
      <c r="L301" s="24"/>
      <c r="M301" s="25"/>
      <c r="N301" s="25"/>
    </row>
    <row r="302" spans="1:14" ht="15.95" customHeight="1" x14ac:dyDescent="0.25">
      <c r="A302" s="121"/>
      <c r="B302" s="23"/>
      <c r="C302" s="24"/>
      <c r="D302" s="24"/>
      <c r="E302" s="24"/>
      <c r="F302" s="24"/>
      <c r="G302" s="90"/>
      <c r="H302" s="23"/>
      <c r="I302" s="24"/>
      <c r="J302" s="24"/>
      <c r="K302" s="24"/>
      <c r="L302" s="24"/>
      <c r="M302" s="25"/>
      <c r="N302" s="25"/>
    </row>
    <row r="303" spans="1:14" ht="15.95" customHeight="1" x14ac:dyDescent="0.25">
      <c r="A303" s="121"/>
      <c r="B303" s="23"/>
      <c r="C303" s="24"/>
      <c r="D303" s="24"/>
      <c r="E303" s="24"/>
      <c r="F303" s="24"/>
      <c r="G303" s="90"/>
      <c r="H303" s="23"/>
      <c r="I303" s="24"/>
      <c r="J303" s="24"/>
      <c r="K303" s="24"/>
      <c r="L303" s="24"/>
      <c r="M303" s="25"/>
      <c r="N303" s="25"/>
    </row>
    <row r="304" spans="1:14" ht="20.100000000000001" customHeight="1" x14ac:dyDescent="0.25">
      <c r="A304" s="121"/>
      <c r="B304" s="23"/>
      <c r="C304" s="24"/>
      <c r="D304" s="24"/>
      <c r="E304" s="24"/>
      <c r="F304" s="24"/>
      <c r="G304" s="90"/>
      <c r="H304" s="23"/>
      <c r="I304" s="24"/>
      <c r="J304" s="24"/>
      <c r="K304" s="24"/>
      <c r="L304" s="24"/>
      <c r="M304" s="25"/>
      <c r="N304" s="25"/>
    </row>
    <row r="305" spans="1:15" ht="15.95" customHeight="1" x14ac:dyDescent="0.25">
      <c r="A305" s="121"/>
      <c r="B305" s="26"/>
      <c r="C305" s="85"/>
      <c r="D305" s="27"/>
      <c r="E305" s="27"/>
      <c r="F305" s="27"/>
      <c r="G305" s="91"/>
      <c r="H305" s="26"/>
      <c r="I305" s="27"/>
      <c r="J305" s="27"/>
      <c r="K305" s="27"/>
      <c r="L305" s="27"/>
      <c r="M305" s="28"/>
      <c r="N305" s="28"/>
    </row>
    <row r="306" spans="1:15" ht="15.95" customHeight="1" x14ac:dyDescent="0.25">
      <c r="A306" s="121"/>
      <c r="B306" s="23"/>
      <c r="C306" s="24"/>
      <c r="D306" s="24"/>
      <c r="E306" s="24"/>
      <c r="F306" s="24"/>
      <c r="G306" s="24"/>
      <c r="H306" s="24"/>
      <c r="I306" s="24"/>
      <c r="J306" s="24"/>
      <c r="K306" s="24"/>
      <c r="L306" s="24"/>
      <c r="M306" s="24"/>
      <c r="N306" s="25"/>
      <c r="O306" s="194" t="str">
        <f>+D389</f>
        <v>ON Pyme CNV Garantizada</v>
      </c>
    </row>
    <row r="307" spans="1:15" ht="15.95" customHeight="1" x14ac:dyDescent="0.25">
      <c r="A307" s="121"/>
      <c r="B307" s="683" t="s">
        <v>143</v>
      </c>
      <c r="C307" s="684"/>
      <c r="D307" s="684"/>
      <c r="E307" s="684"/>
      <c r="F307" s="684"/>
      <c r="G307" s="684"/>
      <c r="H307" s="684"/>
      <c r="I307" s="684"/>
      <c r="J307" s="684"/>
      <c r="K307" s="684"/>
      <c r="L307" s="684"/>
      <c r="M307" s="684"/>
      <c r="N307" s="685"/>
    </row>
    <row r="308" spans="1:15" ht="15.95" customHeight="1" x14ac:dyDescent="0.25">
      <c r="A308" s="121"/>
      <c r="B308" s="23"/>
      <c r="C308" s="24"/>
      <c r="D308" s="24"/>
      <c r="E308" s="24"/>
      <c r="F308" s="31"/>
      <c r="G308" s="87"/>
      <c r="H308" s="31"/>
      <c r="I308" s="31"/>
      <c r="J308" s="24"/>
      <c r="K308" s="24"/>
      <c r="L308" s="24"/>
      <c r="M308" s="24"/>
      <c r="N308" s="25"/>
      <c r="O308" s="194" t="str">
        <f>+IF(J387="vencida",IF(D389='Reporte - Oscuro'!$C$40,'Reporte - Oscuro'!$C$40&amp;" vencida",IF(D389='Reporte - Oscuro'!$C$41,'Reporte - Oscuro'!$C$41&amp;" vencida",IF(D389='Reporte - Oscuro'!$C$42,'Reporte - Oscuro'!$C$42&amp;" vencida",'Reporte - Oscuro'!$C$43&amp;" vencida"))),D389&amp;" vigente")</f>
        <v>ON Pyme CNV Garantizada vencida</v>
      </c>
    </row>
    <row r="309" spans="1:15" ht="15.95" customHeight="1" x14ac:dyDescent="0.25">
      <c r="A309" s="121"/>
      <c r="B309" s="23"/>
      <c r="C309" s="638" t="s">
        <v>37</v>
      </c>
      <c r="D309" s="639"/>
      <c r="E309" s="640"/>
      <c r="F309" s="31"/>
      <c r="G309" s="87"/>
      <c r="H309" s="641" t="s">
        <v>28</v>
      </c>
      <c r="I309" s="642"/>
      <c r="J309" s="39">
        <f>+$D$331-SUMIF($H$315:$H$321,"&lt;"&amp;$M$4,$K$315:$K$321)</f>
        <v>0</v>
      </c>
      <c r="K309" s="24"/>
      <c r="L309" s="24"/>
      <c r="M309" s="24"/>
      <c r="N309" s="25"/>
    </row>
    <row r="310" spans="1:15" ht="15.95" customHeight="1" x14ac:dyDescent="0.25">
      <c r="A310" s="121"/>
      <c r="B310" s="23"/>
      <c r="C310" s="58"/>
      <c r="D310" s="643"/>
      <c r="E310" s="644"/>
      <c r="F310" s="31"/>
      <c r="G310" s="87"/>
      <c r="H310" s="645" t="s">
        <v>29</v>
      </c>
      <c r="I310" s="646"/>
      <c r="J310" s="40">
        <f>+$D$330</f>
        <v>44172</v>
      </c>
      <c r="K310" s="24"/>
      <c r="L310" s="24"/>
      <c r="M310" s="24"/>
      <c r="N310" s="25"/>
    </row>
    <row r="311" spans="1:15" ht="15.95" customHeight="1" x14ac:dyDescent="0.25">
      <c r="A311" s="121"/>
      <c r="B311" s="23"/>
      <c r="C311" s="59" t="s">
        <v>25</v>
      </c>
      <c r="D311" s="691"/>
      <c r="E311" s="692"/>
      <c r="F311" s="31"/>
      <c r="G311" s="87"/>
      <c r="H311" s="649" t="s">
        <v>30</v>
      </c>
      <c r="I311" s="650"/>
      <c r="J311" s="42" t="str">
        <f t="array" ref="J311">+IF(H320&gt;=M4,MIN(IF($H$315:$H$321&gt;$M$4,$H$315:$H$321,"")),"vencida")</f>
        <v>vencida</v>
      </c>
      <c r="K311" s="24"/>
      <c r="L311" s="24"/>
      <c r="M311" s="24"/>
      <c r="N311" s="25"/>
    </row>
    <row r="312" spans="1:15" ht="15.95" customHeight="1" x14ac:dyDescent="0.25">
      <c r="A312" s="121"/>
      <c r="B312" s="23"/>
      <c r="C312" s="59" t="s">
        <v>6</v>
      </c>
      <c r="D312" s="691" t="s">
        <v>91</v>
      </c>
      <c r="E312" s="692"/>
      <c r="F312" s="31"/>
      <c r="G312" s="87"/>
      <c r="H312" s="24"/>
      <c r="I312" s="24"/>
      <c r="J312" s="24"/>
      <c r="K312" s="24"/>
      <c r="L312" s="24"/>
      <c r="M312" s="24"/>
      <c r="N312" s="25"/>
    </row>
    <row r="313" spans="1:15" ht="15.95" customHeight="1" x14ac:dyDescent="0.25">
      <c r="A313" s="121"/>
      <c r="B313" s="23"/>
      <c r="C313" s="59" t="s">
        <v>8</v>
      </c>
      <c r="D313" s="691" t="s">
        <v>17</v>
      </c>
      <c r="E313" s="692"/>
      <c r="F313" s="31"/>
      <c r="G313" s="87"/>
      <c r="H313" s="651" t="s">
        <v>41</v>
      </c>
      <c r="I313" s="652"/>
      <c r="J313" s="652"/>
      <c r="K313" s="652"/>
      <c r="L313" s="653"/>
      <c r="M313" s="24"/>
      <c r="N313" s="25"/>
      <c r="O313" s="97">
        <f>+M392</f>
        <v>-80000</v>
      </c>
    </row>
    <row r="314" spans="1:15" ht="15.95" customHeight="1" x14ac:dyDescent="0.25">
      <c r="A314" s="121"/>
      <c r="B314" s="23"/>
      <c r="C314" s="59" t="s">
        <v>33</v>
      </c>
      <c r="D314" s="132" t="s">
        <v>295</v>
      </c>
      <c r="E314" s="274">
        <v>0.1</v>
      </c>
      <c r="F314" s="281">
        <f>+E314*$J$309</f>
        <v>0</v>
      </c>
      <c r="G314" s="87"/>
      <c r="H314" s="126" t="s">
        <v>0</v>
      </c>
      <c r="I314" s="127" t="s">
        <v>2</v>
      </c>
      <c r="J314" s="127" t="s">
        <v>3</v>
      </c>
      <c r="K314" s="127" t="s">
        <v>4</v>
      </c>
      <c r="L314" s="128" t="s">
        <v>5</v>
      </c>
      <c r="M314" s="127" t="s">
        <v>44</v>
      </c>
      <c r="N314" s="25"/>
      <c r="O314" s="97">
        <f t="shared" ref="O314:O325" si="22">+M393+O313</f>
        <v>-71629.442922374423</v>
      </c>
    </row>
    <row r="315" spans="1:15" ht="15.95" customHeight="1" x14ac:dyDescent="0.25">
      <c r="A315" s="121"/>
      <c r="B315" s="23"/>
      <c r="C315" s="278" t="s">
        <v>33</v>
      </c>
      <c r="D315" s="132" t="s">
        <v>308</v>
      </c>
      <c r="E315" s="274">
        <v>0.7</v>
      </c>
      <c r="F315" s="281">
        <f>+E315*$J$309</f>
        <v>0</v>
      </c>
      <c r="G315" s="87"/>
      <c r="H315" s="45"/>
      <c r="I315" s="46"/>
      <c r="J315" s="46"/>
      <c r="K315" s="46"/>
      <c r="L315" s="47"/>
      <c r="M315" s="23"/>
      <c r="N315" s="25"/>
      <c r="O315" s="97">
        <f t="shared" si="22"/>
        <v>-63400.876712328762</v>
      </c>
    </row>
    <row r="316" spans="1:15" ht="15.95" customHeight="1" x14ac:dyDescent="0.25">
      <c r="A316" s="121"/>
      <c r="B316" s="23"/>
      <c r="C316" s="278" t="s">
        <v>33</v>
      </c>
      <c r="D316" s="132" t="s">
        <v>318</v>
      </c>
      <c r="E316" s="274">
        <v>0.2</v>
      </c>
      <c r="F316" s="281">
        <f>+E316*$J$309</f>
        <v>0</v>
      </c>
      <c r="G316" s="87"/>
      <c r="H316" s="48">
        <f>+$D$329</f>
        <v>43441</v>
      </c>
      <c r="I316" s="136"/>
      <c r="J316" s="49"/>
      <c r="K316" s="49"/>
      <c r="L316" s="50">
        <f>+D331</f>
        <v>500000</v>
      </c>
      <c r="M316" s="93">
        <f>-L316</f>
        <v>-500000</v>
      </c>
      <c r="N316" s="25"/>
      <c r="O316" s="97">
        <f t="shared" si="22"/>
        <v>-55329.735159817348</v>
      </c>
    </row>
    <row r="317" spans="1:15" ht="15.95" customHeight="1" x14ac:dyDescent="0.25">
      <c r="A317" s="121"/>
      <c r="B317" s="23"/>
      <c r="C317" s="59" t="s">
        <v>34</v>
      </c>
      <c r="D317" s="689" t="s">
        <v>48</v>
      </c>
      <c r="E317" s="690"/>
      <c r="F317" s="31"/>
      <c r="G317" s="87"/>
      <c r="H317" s="51">
        <f>IF(DAY(H316)=DAY($H$316),IF(WEEKDAY(EDATE(H316,$D$332),3)&lt;5,EDATE(H316,$D$332),WORKDAY(EDATE(H316,$D$332),1)),IF(WEEKDAY(EDATE($H$316,$D$332*COUNT($H$316:H316)),3)&lt;5,EDATE($H$316,$D$332*COUNT($H$316:H316)),WORKDAY(EDATE($H$316,$D$332*COUNT($H$316:H316)),1)))</f>
        <v>43623</v>
      </c>
      <c r="I317" s="137" t="s">
        <v>7</v>
      </c>
      <c r="J317" s="52">
        <f>+(($D$334/365)*(H317-H316))*L316</f>
        <v>27424.657534246577</v>
      </c>
      <c r="K317" s="52">
        <f>+IF(OR(I317="A + C",I317="A"),$D$331*$D$335,0)</f>
        <v>0</v>
      </c>
      <c r="L317" s="53">
        <f>+L316-K317</f>
        <v>500000</v>
      </c>
      <c r="M317" s="94">
        <f>+J317+K317</f>
        <v>27424.657534246577</v>
      </c>
      <c r="N317" s="25"/>
      <c r="O317" s="97">
        <f t="shared" si="22"/>
        <v>-47399.04109589041</v>
      </c>
    </row>
    <row r="318" spans="1:15" ht="15.95" customHeight="1" x14ac:dyDescent="0.25">
      <c r="A318" s="121"/>
      <c r="B318" s="23"/>
      <c r="C318" s="79" t="s">
        <v>38</v>
      </c>
      <c r="D318" s="130"/>
      <c r="E318" s="131"/>
      <c r="F318" s="34"/>
      <c r="G318" s="88"/>
      <c r="H318" s="51">
        <f>IF(DAY(H317)=DAY($H$316),IF(WEEKDAY(EDATE(H317,$D$332),3)&lt;5,EDATE(H317,$D$332),WORKDAY(EDATE(H317,$D$332),1)),IF(WEEKDAY(EDATE($H$316,$D$332*COUNT($H$316:H317)),3)&lt;5,EDATE($H$316,$D$332*COUNT($H$316:H317)),WORKDAY(EDATE($H$316,$D$332*COUNT($H$316:H317)),1)))</f>
        <v>43808</v>
      </c>
      <c r="I318" s="137" t="s">
        <v>7</v>
      </c>
      <c r="J318" s="52">
        <f>+(($D$334/365)*(H318-H317))*L317</f>
        <v>27876.712328767127</v>
      </c>
      <c r="K318" s="52">
        <f>+IF(OR(I318="A + C",I318="A"),$D$331*$D$335,0)</f>
        <v>0</v>
      </c>
      <c r="L318" s="53">
        <f>+L317-K318</f>
        <v>500000</v>
      </c>
      <c r="M318" s="94">
        <f>+J318+K318</f>
        <v>27876.712328767127</v>
      </c>
      <c r="N318" s="25"/>
      <c r="O318" s="97">
        <f t="shared" si="22"/>
        <v>-39571.753424657531</v>
      </c>
    </row>
    <row r="319" spans="1:15" ht="15.95" customHeight="1" x14ac:dyDescent="0.25">
      <c r="A319" s="121"/>
      <c r="B319" s="23"/>
      <c r="C319" s="59"/>
      <c r="D319" s="132"/>
      <c r="E319" s="133"/>
      <c r="F319" s="34"/>
      <c r="G319" s="88"/>
      <c r="H319" s="51">
        <f>IF(DAY(H318)=DAY($H$316),IF(WEEKDAY(EDATE(H318,$D$332),3)&lt;5,EDATE(H318,$D$332),WORKDAY(EDATE(H318,$D$332),1)),IF(WEEKDAY(EDATE($H$316,$D$332*COUNT($H$316:H318)),3)&lt;5,EDATE($H$316,$D$332*COUNT($H$316:H318)),WORKDAY(EDATE($H$316,$D$332*COUNT($H$316:H318)),1)))</f>
        <v>43990</v>
      </c>
      <c r="I319" s="137" t="s">
        <v>7</v>
      </c>
      <c r="J319" s="52">
        <f>+(($D$334/365)*(H319-H318))*L318</f>
        <v>27424.657534246577</v>
      </c>
      <c r="K319" s="52">
        <f>+IF(OR(I319="A + C",I319="A"),$D$331*$D$335,0)</f>
        <v>0</v>
      </c>
      <c r="L319" s="53">
        <f>+L318-K319</f>
        <v>500000</v>
      </c>
      <c r="M319" s="94">
        <f>+J319+K319</f>
        <v>27424.657534246577</v>
      </c>
      <c r="N319" s="25"/>
      <c r="O319" s="97">
        <f t="shared" si="22"/>
        <v>-31921.95433789954</v>
      </c>
    </row>
    <row r="320" spans="1:15" ht="15.95" customHeight="1" x14ac:dyDescent="0.25">
      <c r="A320" s="121"/>
      <c r="B320" s="32"/>
      <c r="C320" s="60"/>
      <c r="D320" s="134"/>
      <c r="E320" s="135"/>
      <c r="F320" s="34"/>
      <c r="G320" s="88"/>
      <c r="H320" s="51">
        <f>IF(DAY(H319)=DAY($H$316),IF(WEEKDAY(EDATE(H319,$D$332),3)&lt;5,EDATE(H319,$D$332),WORKDAY(EDATE(H319,$D$332),1)),IF(WEEKDAY(EDATE($H$316,$D$332*COUNT($H$316:H319)),3)&lt;5,EDATE($H$316,$D$332*COUNT($H$316:H319)),WORKDAY(EDATE($H$316,$D$332*COUNT($H$316:H319)),1)))</f>
        <v>44172</v>
      </c>
      <c r="I320" s="137" t="s">
        <v>13</v>
      </c>
      <c r="J320" s="52">
        <f>+(($D$334/365)*(H320-H319))*L319</f>
        <v>27424.657534246577</v>
      </c>
      <c r="K320" s="52">
        <f>+IF(OR(I320="A + C",I320="A"),$D$331*$D$335,0)</f>
        <v>500000</v>
      </c>
      <c r="L320" s="53">
        <f>+L319-K320</f>
        <v>0</v>
      </c>
      <c r="M320" s="94">
        <f>+J320+K320</f>
        <v>527424.65753424657</v>
      </c>
      <c r="N320" s="25"/>
      <c r="O320" s="97">
        <f t="shared" si="22"/>
        <v>-24412.602739726026</v>
      </c>
    </row>
    <row r="321" spans="1:15" ht="15.95" customHeight="1" x14ac:dyDescent="0.25">
      <c r="A321" s="121"/>
      <c r="B321" s="23"/>
      <c r="C321" s="60"/>
      <c r="D321" s="275" t="str">
        <f>B307</f>
        <v>Catajuy I</v>
      </c>
      <c r="E321" s="276"/>
      <c r="F321" s="34"/>
      <c r="G321" s="88">
        <f>J309</f>
        <v>0</v>
      </c>
      <c r="H321" s="54"/>
      <c r="I321" s="144"/>
      <c r="J321" s="55"/>
      <c r="K321" s="56"/>
      <c r="L321" s="57"/>
      <c r="M321" s="95"/>
      <c r="N321" s="25"/>
      <c r="O321" s="97">
        <f t="shared" si="22"/>
        <v>-17043.698630136983</v>
      </c>
    </row>
    <row r="322" spans="1:15" ht="15.95" customHeight="1" x14ac:dyDescent="0.25">
      <c r="A322" s="121"/>
      <c r="B322" s="23"/>
      <c r="D322" s="277"/>
      <c r="E322" s="277"/>
      <c r="F322" s="36"/>
      <c r="G322" s="89"/>
      <c r="H322" s="24"/>
      <c r="I322" s="24"/>
      <c r="J322" s="24"/>
      <c r="K322" s="24"/>
      <c r="L322" s="24"/>
      <c r="M322" s="24"/>
      <c r="N322" s="25"/>
      <c r="O322" s="97">
        <f t="shared" si="22"/>
        <v>-9815.2420091324166</v>
      </c>
    </row>
    <row r="323" spans="1:15" ht="15.95" customHeight="1" x14ac:dyDescent="0.25">
      <c r="A323" s="121"/>
      <c r="B323" s="23"/>
      <c r="C323" s="638" t="s">
        <v>36</v>
      </c>
      <c r="D323" s="640"/>
      <c r="E323" s="36"/>
      <c r="F323" s="36"/>
      <c r="G323" s="89"/>
      <c r="H323" s="680" t="s">
        <v>43</v>
      </c>
      <c r="I323" s="680"/>
      <c r="J323" s="92">
        <v>0</v>
      </c>
      <c r="K323" s="92"/>
      <c r="L323" s="24"/>
      <c r="M323" s="24"/>
      <c r="N323" s="25"/>
      <c r="O323" s="97">
        <f t="shared" si="22"/>
        <v>-2727.2328767123254</v>
      </c>
    </row>
    <row r="324" spans="1:15" ht="15.95" customHeight="1" x14ac:dyDescent="0.25">
      <c r="A324" s="121"/>
      <c r="B324" s="23"/>
      <c r="C324" s="59"/>
      <c r="D324" s="62"/>
      <c r="E324" s="36"/>
      <c r="F324" s="36"/>
      <c r="G324" s="89"/>
      <c r="H324" s="657"/>
      <c r="I324" s="657"/>
      <c r="J324" s="392"/>
      <c r="K324" s="24"/>
      <c r="L324" s="33"/>
      <c r="M324" s="33"/>
      <c r="N324" s="25"/>
      <c r="O324" s="97">
        <f t="shared" si="22"/>
        <v>4220.3287671232911</v>
      </c>
    </row>
    <row r="325" spans="1:15" ht="15.95" customHeight="1" x14ac:dyDescent="0.25">
      <c r="A325" s="121"/>
      <c r="B325" s="23"/>
      <c r="C325" s="59" t="s">
        <v>9</v>
      </c>
      <c r="D325" s="129" t="s">
        <v>49</v>
      </c>
      <c r="E325" s="36"/>
      <c r="F325" s="36"/>
      <c r="G325" s="89"/>
      <c r="H325" s="24"/>
      <c r="I325" s="24"/>
      <c r="J325" s="24"/>
      <c r="K325" s="24"/>
      <c r="L325" s="24"/>
      <c r="M325" s="24"/>
      <c r="N325" s="25"/>
      <c r="O325" s="97">
        <f t="shared" si="22"/>
        <v>11027.442922374434</v>
      </c>
    </row>
    <row r="326" spans="1:15" ht="15.95" customHeight="1" x14ac:dyDescent="0.25">
      <c r="A326" s="121"/>
      <c r="B326" s="23"/>
      <c r="C326" s="59" t="s">
        <v>51</v>
      </c>
      <c r="D326" s="138" t="s">
        <v>18</v>
      </c>
      <c r="E326" s="36"/>
      <c r="F326" s="36"/>
      <c r="G326" s="89"/>
      <c r="H326" s="638" t="s">
        <v>44</v>
      </c>
      <c r="I326" s="639"/>
      <c r="J326" s="639"/>
      <c r="K326" s="639"/>
      <c r="L326" s="639"/>
      <c r="M326" s="640"/>
      <c r="N326" s="25"/>
    </row>
    <row r="327" spans="1:15" ht="15.95" customHeight="1" x14ac:dyDescent="0.25">
      <c r="A327" s="121"/>
      <c r="B327" s="23"/>
      <c r="C327" s="59" t="s">
        <v>52</v>
      </c>
      <c r="D327" s="138" t="s">
        <v>18</v>
      </c>
      <c r="E327" s="36"/>
      <c r="F327" s="24"/>
      <c r="G327" s="90"/>
      <c r="H327" s="23"/>
      <c r="I327" s="24"/>
      <c r="J327" s="24"/>
      <c r="K327" s="24"/>
      <c r="L327" s="24"/>
      <c r="M327" s="25"/>
      <c r="N327" s="25"/>
    </row>
    <row r="328" spans="1:15" ht="15.95" customHeight="1" x14ac:dyDescent="0.25">
      <c r="A328" s="121"/>
      <c r="B328" s="23"/>
      <c r="C328" s="59" t="s">
        <v>10</v>
      </c>
      <c r="D328" s="139">
        <v>43438</v>
      </c>
      <c r="E328" s="36"/>
      <c r="F328" s="24"/>
      <c r="G328" s="90"/>
      <c r="H328" s="23"/>
      <c r="I328" s="24"/>
      <c r="J328" s="24"/>
      <c r="K328" s="24"/>
      <c r="L328" s="24"/>
      <c r="M328" s="25"/>
      <c r="N328" s="25"/>
    </row>
    <row r="329" spans="1:15" ht="15.95" customHeight="1" x14ac:dyDescent="0.25">
      <c r="A329" s="121"/>
      <c r="B329" s="23"/>
      <c r="C329" s="59" t="s">
        <v>11</v>
      </c>
      <c r="D329" s="139">
        <v>43441</v>
      </c>
      <c r="E329" s="41"/>
      <c r="F329" s="24"/>
      <c r="G329" s="90"/>
      <c r="H329" s="96"/>
      <c r="I329" s="35"/>
      <c r="J329" s="24"/>
      <c r="K329" s="24"/>
      <c r="L329" s="24"/>
      <c r="M329" s="25"/>
      <c r="N329" s="25"/>
    </row>
    <row r="330" spans="1:15" ht="15.95" customHeight="1" x14ac:dyDescent="0.25">
      <c r="A330" s="121"/>
      <c r="B330" s="23"/>
      <c r="C330" s="59" t="s">
        <v>12</v>
      </c>
      <c r="D330" s="139">
        <v>44172</v>
      </c>
      <c r="E330" s="36"/>
      <c r="F330" s="24"/>
      <c r="G330" s="90"/>
      <c r="H330" s="23"/>
      <c r="I330" s="24"/>
      <c r="J330" s="24"/>
      <c r="K330" s="24"/>
      <c r="L330" s="24"/>
      <c r="M330" s="25"/>
      <c r="N330" s="25"/>
    </row>
    <row r="331" spans="1:15" ht="15.95" customHeight="1" x14ac:dyDescent="0.25">
      <c r="A331" s="121"/>
      <c r="B331" s="23"/>
      <c r="C331" s="59" t="s">
        <v>27</v>
      </c>
      <c r="D331" s="140">
        <v>500000</v>
      </c>
      <c r="E331" s="43"/>
      <c r="F331" s="24"/>
      <c r="G331" s="90"/>
      <c r="H331" s="23"/>
      <c r="I331" s="24"/>
      <c r="J331" s="24"/>
      <c r="K331" s="24"/>
      <c r="L331" s="24"/>
      <c r="M331" s="25"/>
      <c r="N331" s="25"/>
    </row>
    <row r="332" spans="1:15" ht="15.95" customHeight="1" x14ac:dyDescent="0.25">
      <c r="A332" s="121"/>
      <c r="B332" s="23"/>
      <c r="C332" s="59" t="s">
        <v>26</v>
      </c>
      <c r="D332" s="140">
        <v>6</v>
      </c>
      <c r="E332" s="43"/>
      <c r="F332" s="24"/>
      <c r="G332" s="90"/>
      <c r="H332" s="23"/>
      <c r="I332" s="24"/>
      <c r="J332" s="24"/>
      <c r="K332" s="24"/>
      <c r="L332" s="24"/>
      <c r="M332" s="25"/>
      <c r="N332" s="25"/>
    </row>
    <row r="333" spans="1:15" ht="15.95" customHeight="1" x14ac:dyDescent="0.25">
      <c r="A333" s="121"/>
      <c r="B333" s="23"/>
      <c r="C333" s="59" t="s">
        <v>19</v>
      </c>
      <c r="D333" s="141" t="s">
        <v>50</v>
      </c>
      <c r="E333" s="43"/>
      <c r="F333" s="24"/>
      <c r="G333" s="90"/>
      <c r="H333" s="23"/>
      <c r="I333" s="24"/>
      <c r="J333" s="24"/>
      <c r="K333" s="24"/>
      <c r="L333" s="24"/>
      <c r="M333" s="25"/>
      <c r="N333" s="25"/>
    </row>
    <row r="334" spans="1:15" ht="15.95" customHeight="1" x14ac:dyDescent="0.25">
      <c r="A334" s="121"/>
      <c r="B334" s="23"/>
      <c r="C334" s="59" t="s">
        <v>14</v>
      </c>
      <c r="D334" s="142">
        <v>0.11</v>
      </c>
      <c r="E334" s="44"/>
      <c r="F334" s="24"/>
      <c r="G334" s="90"/>
      <c r="H334" s="23"/>
      <c r="I334" s="24"/>
      <c r="J334" s="24"/>
      <c r="K334" s="24"/>
      <c r="L334" s="24"/>
      <c r="M334" s="25"/>
      <c r="N334" s="25"/>
    </row>
    <row r="335" spans="1:15" ht="15.95" customHeight="1" x14ac:dyDescent="0.25">
      <c r="A335" s="121"/>
      <c r="B335" s="23"/>
      <c r="C335" s="59" t="s">
        <v>55</v>
      </c>
      <c r="D335" s="143">
        <v>1</v>
      </c>
      <c r="E335" s="24"/>
      <c r="F335" s="24"/>
      <c r="G335" s="90"/>
      <c r="H335" s="23"/>
      <c r="I335" s="24"/>
      <c r="J335" s="24"/>
      <c r="K335" s="24"/>
      <c r="L335" s="24"/>
      <c r="M335" s="25"/>
      <c r="N335" s="25"/>
    </row>
    <row r="336" spans="1:15" ht="15.95" customHeight="1" x14ac:dyDescent="0.25">
      <c r="A336" s="121"/>
      <c r="B336" s="23"/>
      <c r="C336" s="63"/>
      <c r="D336" s="145"/>
      <c r="E336" s="24"/>
      <c r="F336" s="24"/>
      <c r="G336" s="90"/>
      <c r="H336" s="23"/>
      <c r="I336" s="24"/>
      <c r="J336" s="24"/>
      <c r="K336" s="24"/>
      <c r="L336" s="24"/>
      <c r="M336" s="25"/>
      <c r="N336" s="25"/>
    </row>
    <row r="337" spans="1:15" ht="15.95" customHeight="1" x14ac:dyDescent="0.25">
      <c r="A337" s="121"/>
      <c r="B337" s="23"/>
      <c r="C337" s="24"/>
      <c r="D337" s="24"/>
      <c r="E337" s="24"/>
      <c r="F337" s="24"/>
      <c r="G337" s="90"/>
      <c r="H337" s="23"/>
      <c r="I337" s="24"/>
      <c r="J337" s="24"/>
      <c r="K337" s="24"/>
      <c r="L337" s="24"/>
      <c r="M337" s="25"/>
      <c r="N337" s="25"/>
    </row>
    <row r="338" spans="1:15" ht="15.95" customHeight="1" x14ac:dyDescent="0.25">
      <c r="A338" s="121"/>
      <c r="B338" s="23"/>
      <c r="C338" s="24"/>
      <c r="D338" s="24"/>
      <c r="E338" s="24"/>
      <c r="F338" s="24"/>
      <c r="G338" s="90"/>
      <c r="H338" s="26"/>
      <c r="I338" s="27"/>
      <c r="J338" s="27"/>
      <c r="K338" s="27"/>
      <c r="L338" s="27"/>
      <c r="M338" s="28"/>
      <c r="N338" s="25"/>
    </row>
    <row r="339" spans="1:15" ht="15.95" customHeight="1" x14ac:dyDescent="0.25">
      <c r="A339" s="121"/>
      <c r="B339" s="26"/>
      <c r="C339" s="27"/>
      <c r="D339" s="27"/>
      <c r="E339" s="27"/>
      <c r="F339" s="27"/>
      <c r="G339" s="91"/>
      <c r="H339" s="27"/>
      <c r="I339" s="27"/>
      <c r="J339" s="27"/>
      <c r="K339" s="27"/>
      <c r="L339" s="27"/>
      <c r="M339" s="27"/>
      <c r="N339" s="28"/>
    </row>
    <row r="340" spans="1:15" ht="15.95" customHeight="1" x14ac:dyDescent="0.25">
      <c r="A340" s="121"/>
      <c r="B340" s="19"/>
      <c r="C340" s="20"/>
      <c r="D340" s="20"/>
      <c r="E340" s="20"/>
      <c r="F340" s="20"/>
      <c r="G340" s="20"/>
      <c r="H340" s="20"/>
      <c r="I340" s="20"/>
      <c r="J340" s="20"/>
      <c r="K340" s="20"/>
      <c r="L340" s="20"/>
      <c r="M340" s="20"/>
      <c r="N340" s="21"/>
    </row>
    <row r="341" spans="1:15" ht="15.95" customHeight="1" x14ac:dyDescent="0.25">
      <c r="A341" s="121"/>
      <c r="B341" s="683" t="s">
        <v>144</v>
      </c>
      <c r="C341" s="684"/>
      <c r="D341" s="684"/>
      <c r="E341" s="684"/>
      <c r="F341" s="684"/>
      <c r="G341" s="684"/>
      <c r="H341" s="684"/>
      <c r="I341" s="684"/>
      <c r="J341" s="684"/>
      <c r="K341" s="684"/>
      <c r="L341" s="684"/>
      <c r="M341" s="684"/>
      <c r="N341" s="685"/>
    </row>
    <row r="342" spans="1:15" ht="15.95" customHeight="1" x14ac:dyDescent="0.25">
      <c r="A342" s="121"/>
      <c r="B342" s="23"/>
      <c r="C342" s="24"/>
      <c r="D342" s="24"/>
      <c r="E342" s="24"/>
      <c r="F342" s="31"/>
      <c r="G342" s="87"/>
      <c r="H342" s="31"/>
      <c r="I342" s="31"/>
      <c r="J342" s="24"/>
      <c r="K342" s="24"/>
      <c r="L342" s="24"/>
      <c r="M342" s="24"/>
      <c r="N342" s="25"/>
    </row>
    <row r="343" spans="1:15" ht="15.95" customHeight="1" x14ac:dyDescent="0.25">
      <c r="A343" s="121"/>
      <c r="B343" s="23"/>
      <c r="C343" s="638" t="s">
        <v>37</v>
      </c>
      <c r="D343" s="639"/>
      <c r="E343" s="640"/>
      <c r="F343" s="31"/>
      <c r="G343" s="87"/>
      <c r="H343" s="641" t="s">
        <v>28</v>
      </c>
      <c r="I343" s="642"/>
      <c r="J343" s="39">
        <f>+$D$363-SUMIF($H$349:$H$362,"&lt;"&amp;$M$4,$K$349:$K$362)</f>
        <v>0</v>
      </c>
      <c r="K343" s="24"/>
      <c r="L343" s="24"/>
      <c r="M343" s="24"/>
      <c r="N343" s="25"/>
    </row>
    <row r="344" spans="1:15" ht="15.95" customHeight="1" x14ac:dyDescent="0.25">
      <c r="A344" s="121"/>
      <c r="B344" s="23"/>
      <c r="C344" s="58"/>
      <c r="D344" s="664"/>
      <c r="E344" s="665"/>
      <c r="F344" s="31"/>
      <c r="G344" s="87"/>
      <c r="H344" s="645" t="s">
        <v>29</v>
      </c>
      <c r="I344" s="646"/>
      <c r="J344" s="40">
        <f>+$D$362</f>
        <v>44463</v>
      </c>
      <c r="K344" s="24"/>
      <c r="L344" s="24"/>
      <c r="M344" s="24"/>
      <c r="N344" s="25"/>
    </row>
    <row r="345" spans="1:15" ht="15.95" customHeight="1" x14ac:dyDescent="0.25">
      <c r="A345" s="121"/>
      <c r="B345" s="23"/>
      <c r="C345" s="59" t="s">
        <v>25</v>
      </c>
      <c r="D345" s="681"/>
      <c r="E345" s="682"/>
      <c r="F345" s="31"/>
      <c r="G345" s="87"/>
      <c r="H345" s="649" t="s">
        <v>30</v>
      </c>
      <c r="I345" s="650"/>
      <c r="J345" s="42" t="str">
        <f t="array" ref="J345">+IF(H362&gt;=M4,MIN(IF($H$349:$H$362&gt;$M$4,$H$349:$H$362,"")),"vencida")</f>
        <v>vencida</v>
      </c>
      <c r="K345" s="24"/>
      <c r="L345" s="24"/>
      <c r="M345" s="24"/>
      <c r="N345" s="25"/>
    </row>
    <row r="346" spans="1:15" ht="20.100000000000001" customHeight="1" x14ac:dyDescent="0.25">
      <c r="A346" s="121"/>
      <c r="B346" s="23"/>
      <c r="C346" s="59" t="s">
        <v>6</v>
      </c>
      <c r="D346" s="681" t="s">
        <v>92</v>
      </c>
      <c r="E346" s="682"/>
      <c r="F346" s="31"/>
      <c r="G346" s="87"/>
      <c r="H346" s="24"/>
      <c r="I346" s="24"/>
      <c r="J346" s="24"/>
      <c r="K346" s="24"/>
      <c r="L346" s="24"/>
      <c r="M346" s="24"/>
      <c r="N346" s="25"/>
    </row>
    <row r="347" spans="1:15" ht="15.95" customHeight="1" x14ac:dyDescent="0.25">
      <c r="A347" s="121"/>
      <c r="B347" s="23"/>
      <c r="C347" s="59" t="s">
        <v>8</v>
      </c>
      <c r="D347" s="681" t="s">
        <v>17</v>
      </c>
      <c r="E347" s="682"/>
      <c r="F347" s="31"/>
      <c r="G347" s="87"/>
      <c r="H347" s="677" t="s">
        <v>41</v>
      </c>
      <c r="I347" s="678"/>
      <c r="J347" s="678"/>
      <c r="K347" s="678"/>
      <c r="L347" s="679"/>
      <c r="M347" s="24"/>
      <c r="N347" s="25"/>
    </row>
    <row r="348" spans="1:15" ht="20.100000000000001" customHeight="1" x14ac:dyDescent="0.25">
      <c r="A348" s="121"/>
      <c r="B348" s="23"/>
      <c r="C348" s="59" t="s">
        <v>33</v>
      </c>
      <c r="D348" s="132" t="s">
        <v>309</v>
      </c>
      <c r="E348" s="274">
        <v>1</v>
      </c>
      <c r="F348" s="281">
        <f>+E348*J343</f>
        <v>0</v>
      </c>
      <c r="G348" s="87"/>
      <c r="H348" s="146" t="s">
        <v>0</v>
      </c>
      <c r="I348" s="147" t="s">
        <v>2</v>
      </c>
      <c r="J348" s="147" t="s">
        <v>3</v>
      </c>
      <c r="K348" s="147" t="s">
        <v>4</v>
      </c>
      <c r="L348" s="148" t="s">
        <v>5</v>
      </c>
      <c r="M348" s="148" t="s">
        <v>44</v>
      </c>
      <c r="N348" s="25"/>
    </row>
    <row r="349" spans="1:15" ht="15.95" customHeight="1" x14ac:dyDescent="0.25">
      <c r="A349" s="121"/>
      <c r="B349" s="23"/>
      <c r="C349" s="59" t="s">
        <v>34</v>
      </c>
      <c r="D349" s="681" t="s">
        <v>48</v>
      </c>
      <c r="E349" s="682"/>
      <c r="F349" s="31"/>
      <c r="G349" s="87"/>
      <c r="H349" s="45"/>
      <c r="I349" s="46"/>
      <c r="J349" s="46"/>
      <c r="K349" s="46"/>
      <c r="L349" s="47"/>
      <c r="M349" s="101"/>
      <c r="N349" s="25"/>
    </row>
    <row r="350" spans="1:15" ht="15.95" customHeight="1" x14ac:dyDescent="0.25">
      <c r="A350" s="121"/>
      <c r="B350" s="23"/>
      <c r="C350" s="79" t="s">
        <v>38</v>
      </c>
      <c r="D350" s="130"/>
      <c r="E350" s="131"/>
      <c r="F350" s="31"/>
      <c r="G350" s="87"/>
      <c r="H350" s="48">
        <f>+$D$361</f>
        <v>43367</v>
      </c>
      <c r="I350" s="136"/>
      <c r="J350" s="49"/>
      <c r="K350" s="49"/>
      <c r="L350" s="50">
        <f>+D363</f>
        <v>100000</v>
      </c>
      <c r="M350" s="102">
        <f>-L350</f>
        <v>-100000</v>
      </c>
      <c r="N350" s="25"/>
      <c r="O350" s="194" t="str">
        <f>+D431</f>
        <v>ON Pyme CNV Garantizada</v>
      </c>
    </row>
    <row r="351" spans="1:15" ht="15.95" customHeight="1" x14ac:dyDescent="0.25">
      <c r="A351" s="121"/>
      <c r="B351" s="23"/>
      <c r="C351" s="59"/>
      <c r="D351" s="132"/>
      <c r="E351" s="133"/>
      <c r="F351" s="31"/>
      <c r="G351" s="87"/>
      <c r="H351" s="51">
        <f>IF(DAY(H350)=DAY($H$350),IF(WEEKDAY(EDATE(H350,$D$364),3)&lt;5,EDATE(H350,$D$364),WORKDAY(EDATE(H350,$D$364),1)),IF(WEEKDAY(EDATE($H$350,$D$364*COUNT($H$350:H350)),3)&lt;5,EDATE($H$350,$D$364*COUNT($H$350:H350)),WORKDAY(EDATE($H$350,$D$364*COUNT($H$350:H350)),1)))</f>
        <v>43458</v>
      </c>
      <c r="I351" s="137" t="s">
        <v>13</v>
      </c>
      <c r="J351" s="52">
        <f t="shared" ref="J351:J362" si="23">+(($D$366/365)*(H351-H350))*L350</f>
        <v>2243.8356164383563</v>
      </c>
      <c r="K351" s="52">
        <f t="shared" ref="K351:K362" si="24">+IF(OR(I351="A + C",I351="A"),$L$350*$D$367,0)</f>
        <v>8333.3333333333339</v>
      </c>
      <c r="L351" s="53">
        <f t="shared" ref="L351:L362" si="25">+L350-K351</f>
        <v>91666.666666666672</v>
      </c>
      <c r="M351" s="103">
        <f t="shared" ref="M351:M362" si="26">+J351+K351</f>
        <v>10577.168949771691</v>
      </c>
      <c r="N351" s="25"/>
    </row>
    <row r="352" spans="1:15" ht="15.95" customHeight="1" x14ac:dyDescent="0.25">
      <c r="A352" s="121"/>
      <c r="B352" s="23"/>
      <c r="C352" s="60"/>
      <c r="D352" s="134"/>
      <c r="E352" s="135"/>
      <c r="F352" s="34"/>
      <c r="G352" s="88"/>
      <c r="H352" s="51">
        <f>IF(DAY(H351)=DAY($H$350),IF(WEEKDAY(EDATE(H351,$D$364),3)&lt;5,EDATE(H351,$D$364),WORKDAY(EDATE(H351,$D$364),1)),IF(WEEKDAY(EDATE($H$350,$D$364*COUNT($H$350:H351)),3)&lt;5,EDATE($H$350,$D$364*COUNT($H$350:H351)),WORKDAY(EDATE($H$350,$D$364*COUNT($H$350:H351)),1)))</f>
        <v>43549</v>
      </c>
      <c r="I352" s="137" t="s">
        <v>13</v>
      </c>
      <c r="J352" s="52">
        <f t="shared" si="23"/>
        <v>2056.8493150684931</v>
      </c>
      <c r="K352" s="52">
        <f t="shared" si="24"/>
        <v>8333.3333333333339</v>
      </c>
      <c r="L352" s="53">
        <f t="shared" si="25"/>
        <v>83333.333333333343</v>
      </c>
      <c r="M352" s="103">
        <f t="shared" si="26"/>
        <v>10390.182648401827</v>
      </c>
      <c r="N352" s="25"/>
      <c r="O352" s="194" t="str">
        <f>+IF(J429="vencida",IF(D431='Reporte - Oscuro'!$C$40,'Reporte - Oscuro'!$C$40&amp;" vencida",IF(D431='Reporte - Oscuro'!$C$41,'Reporte - Oscuro'!$C$41&amp;" vencida",IF(D431='Reporte - Oscuro'!$C$42,'Reporte - Oscuro'!$C$42&amp;" vencida",'Reporte - Oscuro'!$C$43&amp;" vencida"))),D431&amp;" vigente")</f>
        <v>ON Pyme CNV Garantizada vencida</v>
      </c>
    </row>
    <row r="353" spans="1:15" ht="15.95" customHeight="1" x14ac:dyDescent="0.25">
      <c r="A353" s="121"/>
      <c r="B353" s="23"/>
      <c r="C353" s="60"/>
      <c r="D353" s="55" t="str">
        <f>B341</f>
        <v>Cerealera Puntana I</v>
      </c>
      <c r="E353" s="64"/>
      <c r="F353" s="34"/>
      <c r="G353" s="88">
        <f>J343</f>
        <v>0</v>
      </c>
      <c r="H353" s="51">
        <f>IF(DAY(H352)=DAY($H$350),IF(WEEKDAY(EDATE(H352,$D$364),3)&lt;5,EDATE(H352,$D$364),WORKDAY(EDATE(H352,$D$364),1)),IF(WEEKDAY(EDATE($H$350,$D$364*COUNT($H$350:H352)),3)&lt;5,EDATE($H$350,$D$364*COUNT($H$350:H352)),WORKDAY(EDATE($H$350,$D$364*COUNT($H$350:H352)),1)))</f>
        <v>43640</v>
      </c>
      <c r="I353" s="137" t="s">
        <v>13</v>
      </c>
      <c r="J353" s="52">
        <f t="shared" si="23"/>
        <v>1869.8630136986303</v>
      </c>
      <c r="K353" s="52">
        <f t="shared" si="24"/>
        <v>8333.3333333333339</v>
      </c>
      <c r="L353" s="53">
        <f t="shared" si="25"/>
        <v>75000.000000000015</v>
      </c>
      <c r="M353" s="103">
        <f t="shared" si="26"/>
        <v>10203.196347031964</v>
      </c>
      <c r="N353" s="25"/>
    </row>
    <row r="354" spans="1:15" ht="15.95" customHeight="1" x14ac:dyDescent="0.25">
      <c r="A354" s="121"/>
      <c r="B354" s="32"/>
      <c r="D354" s="644"/>
      <c r="E354" s="660"/>
      <c r="F354" s="34"/>
      <c r="G354" s="88"/>
      <c r="H354" s="51">
        <f>IF(DAY(H353)=DAY($H$350),IF(WEEKDAY(EDATE(H353,$D$364),3)&lt;5,EDATE(H353,$D$364),WORKDAY(EDATE(H353,$D$364),1)),IF(WEEKDAY(EDATE($H$350,$D$364*COUNT($H$350:H353)),3)&lt;5,EDATE($H$350,$D$364*COUNT($H$350:H353)),WORKDAY(EDATE($H$350,$D$364*COUNT($H$350:H353)),1)))</f>
        <v>43732</v>
      </c>
      <c r="I354" s="137" t="s">
        <v>13</v>
      </c>
      <c r="J354" s="52">
        <f t="shared" si="23"/>
        <v>1701.3698630136989</v>
      </c>
      <c r="K354" s="52">
        <f t="shared" si="24"/>
        <v>8333.3333333333339</v>
      </c>
      <c r="L354" s="53">
        <f t="shared" si="25"/>
        <v>66666.666666666686</v>
      </c>
      <c r="M354" s="103">
        <f t="shared" si="26"/>
        <v>10034.703196347033</v>
      </c>
      <c r="N354" s="25"/>
    </row>
    <row r="355" spans="1:15" ht="15.95" customHeight="1" x14ac:dyDescent="0.25">
      <c r="A355" s="121"/>
      <c r="B355" s="23"/>
      <c r="C355" s="638" t="s">
        <v>36</v>
      </c>
      <c r="D355" s="640"/>
      <c r="E355" s="36"/>
      <c r="F355" s="34"/>
      <c r="G355" s="88"/>
      <c r="H355" s="51">
        <f>IF(DAY(H354)=DAY($H$350),IF(WEEKDAY(EDATE(H354,$D$364),3)&lt;5,EDATE(H354,$D$364),WORKDAY(EDATE(H354,$D$364),1)),IF(WEEKDAY(EDATE($H$350,$D$364*COUNT($H$350:H354)),3)&lt;5,EDATE($H$350,$D$364*COUNT($H$350:H354)),WORKDAY(EDATE($H$350,$D$364*COUNT($H$350:H354)),1)))</f>
        <v>43823</v>
      </c>
      <c r="I355" s="137" t="s">
        <v>13</v>
      </c>
      <c r="J355" s="52">
        <f t="shared" si="23"/>
        <v>1495.8904109589046</v>
      </c>
      <c r="K355" s="52">
        <f t="shared" si="24"/>
        <v>8333.3333333333339</v>
      </c>
      <c r="L355" s="53">
        <f t="shared" si="25"/>
        <v>58333.33333333335</v>
      </c>
      <c r="M355" s="103">
        <f t="shared" si="26"/>
        <v>9829.2237442922378</v>
      </c>
      <c r="N355" s="25"/>
    </row>
    <row r="356" spans="1:15" ht="15.95" customHeight="1" x14ac:dyDescent="0.25">
      <c r="A356" s="121"/>
      <c r="B356" s="23"/>
      <c r="C356" s="59"/>
      <c r="D356" s="62"/>
      <c r="E356" s="36"/>
      <c r="F356" s="36"/>
      <c r="G356" s="89"/>
      <c r="H356" s="51">
        <f>IF(DAY(H355)=DAY($H$350),IF(WEEKDAY(EDATE(H355,$D$364),3)&lt;5,EDATE(H355,$D$364),WORKDAY(EDATE(H355,$D$364),1)),IF(WEEKDAY(EDATE($H$350,$D$364*COUNT($H$350:H355)),3)&lt;5,EDATE($H$350,$D$364*COUNT($H$350:H355)),WORKDAY(EDATE($H$350,$D$364*COUNT($H$350:H355)),1)))</f>
        <v>43914</v>
      </c>
      <c r="I356" s="137" t="s">
        <v>13</v>
      </c>
      <c r="J356" s="52">
        <f t="shared" si="23"/>
        <v>1308.9041095890416</v>
      </c>
      <c r="K356" s="52">
        <f t="shared" si="24"/>
        <v>8333.3333333333339</v>
      </c>
      <c r="L356" s="53">
        <f t="shared" si="25"/>
        <v>50000.000000000015</v>
      </c>
      <c r="M356" s="103">
        <f t="shared" si="26"/>
        <v>9642.2374429223746</v>
      </c>
      <c r="N356" s="25"/>
    </row>
    <row r="357" spans="1:15" ht="15.95" customHeight="1" x14ac:dyDescent="0.25">
      <c r="A357" s="121"/>
      <c r="B357" s="23"/>
      <c r="C357" s="59" t="s">
        <v>9</v>
      </c>
      <c r="D357" s="129" t="s">
        <v>49</v>
      </c>
      <c r="E357" s="36"/>
      <c r="F357" s="36"/>
      <c r="G357" s="89"/>
      <c r="H357" s="51">
        <f>IF(DAY(H356)=DAY($H$350),IF(WEEKDAY(EDATE(H356,$D$364),3)&lt;5,EDATE(H356,$D$364),WORKDAY(EDATE(H356,$D$364),1)),IF(WEEKDAY(EDATE($H$350,$D$364*COUNT($H$350:H356)),3)&lt;5,EDATE($H$350,$D$364*COUNT($H$350:H356)),WORKDAY(EDATE($H$350,$D$364*COUNT($H$350:H356)),1)))</f>
        <v>44006</v>
      </c>
      <c r="I357" s="137" t="s">
        <v>13</v>
      </c>
      <c r="J357" s="52">
        <f t="shared" si="23"/>
        <v>1134.246575342466</v>
      </c>
      <c r="K357" s="52">
        <f t="shared" si="24"/>
        <v>8333.3333333333339</v>
      </c>
      <c r="L357" s="53">
        <f t="shared" si="25"/>
        <v>41666.666666666679</v>
      </c>
      <c r="M357" s="103">
        <f t="shared" si="26"/>
        <v>9467.5799086757997</v>
      </c>
      <c r="N357" s="25"/>
      <c r="O357" s="97">
        <f>+M434</f>
        <v>-575000</v>
      </c>
    </row>
    <row r="358" spans="1:15" ht="15.95" customHeight="1" x14ac:dyDescent="0.25">
      <c r="A358" s="121"/>
      <c r="B358" s="23"/>
      <c r="C358" s="59" t="s">
        <v>51</v>
      </c>
      <c r="D358" s="138" t="s">
        <v>18</v>
      </c>
      <c r="E358" s="36"/>
      <c r="F358" s="36"/>
      <c r="G358" s="89"/>
      <c r="H358" s="51">
        <f>IF(DAY(H357)=DAY($H$350),IF(WEEKDAY(EDATE(H357,$D$364),3)&lt;5,EDATE(H357,$D$364),WORKDAY(EDATE(H357,$D$364),1)),IF(WEEKDAY(EDATE($H$350,$D$364*COUNT($H$350:H357)),3)&lt;5,EDATE($H$350,$D$364*COUNT($H$350:H357)),WORKDAY(EDATE($H$350,$D$364*COUNT($H$350:H357)),1)))</f>
        <v>44098</v>
      </c>
      <c r="I358" s="137" t="s">
        <v>13</v>
      </c>
      <c r="J358" s="52">
        <f t="shared" si="23"/>
        <v>945.20547945205499</v>
      </c>
      <c r="K358" s="52">
        <f t="shared" si="24"/>
        <v>8333.3333333333339</v>
      </c>
      <c r="L358" s="53">
        <f t="shared" si="25"/>
        <v>33333.333333333343</v>
      </c>
      <c r="M358" s="103">
        <f t="shared" si="26"/>
        <v>9278.5388127853894</v>
      </c>
      <c r="N358" s="25"/>
      <c r="O358" s="97">
        <f t="shared" ref="O358:O363" si="27">+M435+O357</f>
        <v>-488513.69863013696</v>
      </c>
    </row>
    <row r="359" spans="1:15" ht="15.95" customHeight="1" x14ac:dyDescent="0.25">
      <c r="A359" s="121"/>
      <c r="B359" s="23"/>
      <c r="C359" s="59" t="s">
        <v>52</v>
      </c>
      <c r="D359" s="138" t="s">
        <v>18</v>
      </c>
      <c r="E359" s="36"/>
      <c r="F359" s="36"/>
      <c r="G359" s="89"/>
      <c r="H359" s="51">
        <f>IF(DAY(H358)=DAY($H$350),IF(WEEKDAY(EDATE(H358,$D$364),3)&lt;5,EDATE(H358,$D$364),WORKDAY(EDATE(H358,$D$364),1)),IF(WEEKDAY(EDATE($H$350,$D$364*COUNT($H$350:H358)),3)&lt;5,EDATE($H$350,$D$364*COUNT($H$350:H358)),WORKDAY(EDATE($H$350,$D$364*COUNT($H$350:H358)),1)))</f>
        <v>44189</v>
      </c>
      <c r="I359" s="137" t="s">
        <v>13</v>
      </c>
      <c r="J359" s="52">
        <f t="shared" si="23"/>
        <v>747.94520547945228</v>
      </c>
      <c r="K359" s="52">
        <f t="shared" si="24"/>
        <v>8333.3333333333339</v>
      </c>
      <c r="L359" s="53">
        <f t="shared" si="25"/>
        <v>25000.000000000007</v>
      </c>
      <c r="M359" s="103">
        <f t="shared" si="26"/>
        <v>9081.2785388127868</v>
      </c>
      <c r="N359" s="25"/>
      <c r="O359" s="97">
        <f t="shared" si="27"/>
        <v>-405351.36986301368</v>
      </c>
    </row>
    <row r="360" spans="1:15" ht="15.95" customHeight="1" x14ac:dyDescent="0.25">
      <c r="A360" s="121"/>
      <c r="B360" s="23"/>
      <c r="C360" s="59" t="s">
        <v>10</v>
      </c>
      <c r="D360" s="139">
        <v>43363</v>
      </c>
      <c r="E360" s="36"/>
      <c r="F360" s="36"/>
      <c r="G360" s="89"/>
      <c r="H360" s="51">
        <f>IF(DAY(H359)=DAY($H$350),IF(WEEKDAY(EDATE(H359,$D$364),3)&lt;5,EDATE(H359,$D$364),WORKDAY(EDATE(H359,$D$364),1)),IF(WEEKDAY(EDATE($H$350,$D$364*COUNT($H$350:H359)),3)&lt;5,EDATE($H$350,$D$364*COUNT($H$350:H359)),WORKDAY(EDATE($H$350,$D$364*COUNT($H$350:H359)),1)))</f>
        <v>44279</v>
      </c>
      <c r="I360" s="137" t="s">
        <v>13</v>
      </c>
      <c r="J360" s="52">
        <f t="shared" si="23"/>
        <v>554.79452054794535</v>
      </c>
      <c r="K360" s="52">
        <f t="shared" si="24"/>
        <v>8333.3333333333339</v>
      </c>
      <c r="L360" s="53">
        <f t="shared" si="25"/>
        <v>16666.666666666672</v>
      </c>
      <c r="M360" s="103">
        <f t="shared" si="26"/>
        <v>8888.1278538812785</v>
      </c>
      <c r="N360" s="25"/>
      <c r="O360" s="97">
        <f t="shared" si="27"/>
        <v>-324662.32876712328</v>
      </c>
    </row>
    <row r="361" spans="1:15" ht="15.95" customHeight="1" x14ac:dyDescent="0.25">
      <c r="A361" s="121"/>
      <c r="B361" s="23"/>
      <c r="C361" s="59" t="s">
        <v>11</v>
      </c>
      <c r="D361" s="139">
        <v>43367</v>
      </c>
      <c r="E361" s="41"/>
      <c r="F361" s="24"/>
      <c r="G361" s="90"/>
      <c r="H361" s="51">
        <f>IF(DAY(H360)=DAY($H$350),IF(WEEKDAY(EDATE(H360,$D$364),3)&lt;5,EDATE(H360,$D$364),WORKDAY(EDATE(H360,$D$364),1)),IF(WEEKDAY(EDATE($H$350,$D$364*COUNT($H$350:H360)),3)&lt;5,EDATE($H$350,$D$364*COUNT($H$350:H360)),WORKDAY(EDATE($H$350,$D$364*COUNT($H$350:H360)),1)))</f>
        <v>44371</v>
      </c>
      <c r="I361" s="137" t="s">
        <v>13</v>
      </c>
      <c r="J361" s="52">
        <f t="shared" si="23"/>
        <v>378.08219178082203</v>
      </c>
      <c r="K361" s="52">
        <f t="shared" si="24"/>
        <v>8333.3333333333339</v>
      </c>
      <c r="L361" s="53">
        <f t="shared" si="25"/>
        <v>8333.3333333333376</v>
      </c>
      <c r="M361" s="103">
        <f t="shared" si="26"/>
        <v>8711.4155251141565</v>
      </c>
      <c r="N361" s="25"/>
      <c r="O361" s="97">
        <f t="shared" si="27"/>
        <v>-247092.46575342465</v>
      </c>
    </row>
    <row r="362" spans="1:15" ht="15.95" customHeight="1" x14ac:dyDescent="0.25">
      <c r="A362" s="121"/>
      <c r="B362" s="23"/>
      <c r="C362" s="59" t="s">
        <v>12</v>
      </c>
      <c r="D362" s="139">
        <v>44463</v>
      </c>
      <c r="E362" s="36"/>
      <c r="F362" s="24"/>
      <c r="G362" s="90"/>
      <c r="H362" s="51">
        <f>IF(DAY(H361)=DAY($H$350),IF(WEEKDAY(EDATE(H361,$D$364),3)&lt;5,EDATE(H361,$D$364),WORKDAY(EDATE(H361,$D$364),1)),IF(WEEKDAY(EDATE($H$350,$D$364*COUNT($H$350:H361)),3)&lt;5,EDATE($H$350,$D$364*COUNT($H$350:H361)),WORKDAY(EDATE($H$350,$D$364*COUNT($H$350:H361)),1)))</f>
        <v>44463</v>
      </c>
      <c r="I362" s="137" t="s">
        <v>13</v>
      </c>
      <c r="J362" s="52">
        <f t="shared" si="23"/>
        <v>189.04109589041104</v>
      </c>
      <c r="K362" s="52">
        <f t="shared" si="24"/>
        <v>8333.3333333333339</v>
      </c>
      <c r="L362" s="53">
        <f t="shared" si="25"/>
        <v>0</v>
      </c>
      <c r="M362" s="103">
        <f t="shared" si="26"/>
        <v>8522.3744292237443</v>
      </c>
      <c r="N362" s="25"/>
      <c r="O362" s="97">
        <f t="shared" si="27"/>
        <v>-172011.64383561641</v>
      </c>
    </row>
    <row r="363" spans="1:15" ht="15.95" customHeight="1" x14ac:dyDescent="0.25">
      <c r="A363" s="121"/>
      <c r="B363" s="23"/>
      <c r="C363" s="59" t="s">
        <v>27</v>
      </c>
      <c r="D363" s="140">
        <v>100000</v>
      </c>
      <c r="E363" s="43"/>
      <c r="F363" s="24"/>
      <c r="G363" s="90"/>
      <c r="H363" s="54"/>
      <c r="I363" s="144"/>
      <c r="J363" s="105"/>
      <c r="K363" s="105"/>
      <c r="L363" s="106"/>
      <c r="M363" s="107"/>
      <c r="N363" s="25"/>
      <c r="O363" s="97">
        <f t="shared" si="27"/>
        <v>129587.67123287672</v>
      </c>
    </row>
    <row r="364" spans="1:15" ht="15.95" customHeight="1" x14ac:dyDescent="0.25">
      <c r="A364" s="121"/>
      <c r="B364" s="23"/>
      <c r="C364" s="59" t="s">
        <v>26</v>
      </c>
      <c r="D364" s="140">
        <v>3</v>
      </c>
      <c r="E364" s="43"/>
      <c r="F364" s="24"/>
      <c r="G364" s="90"/>
      <c r="H364" s="24"/>
      <c r="I364" s="24"/>
      <c r="J364" s="24"/>
      <c r="K364" s="24"/>
      <c r="L364" s="24"/>
      <c r="M364" s="24"/>
      <c r="N364" s="25"/>
    </row>
    <row r="365" spans="1:15" ht="15.95" customHeight="1" x14ac:dyDescent="0.25">
      <c r="A365" s="121"/>
      <c r="B365" s="23"/>
      <c r="C365" s="59" t="s">
        <v>19</v>
      </c>
      <c r="D365" s="141" t="s">
        <v>50</v>
      </c>
      <c r="E365" s="43"/>
      <c r="F365" s="24"/>
      <c r="G365" s="90"/>
      <c r="H365" s="680" t="s">
        <v>43</v>
      </c>
      <c r="I365" s="680"/>
      <c r="J365" s="92">
        <v>0</v>
      </c>
      <c r="K365" s="92"/>
      <c r="L365" s="24"/>
      <c r="M365" s="24"/>
      <c r="N365" s="25"/>
    </row>
    <row r="366" spans="1:15" ht="15.95" customHeight="1" x14ac:dyDescent="0.25">
      <c r="A366" s="121"/>
      <c r="B366" s="23"/>
      <c r="C366" s="59" t="s">
        <v>14</v>
      </c>
      <c r="D366" s="142">
        <v>0.09</v>
      </c>
      <c r="E366" s="44"/>
      <c r="F366" s="24"/>
      <c r="G366" s="90"/>
      <c r="H366" s="657"/>
      <c r="I366" s="657"/>
      <c r="J366" s="392"/>
      <c r="K366" s="24"/>
      <c r="L366" s="33"/>
      <c r="M366" s="33"/>
      <c r="N366" s="25"/>
    </row>
    <row r="367" spans="1:15" ht="15.95" customHeight="1" x14ac:dyDescent="0.25">
      <c r="A367" s="121"/>
      <c r="B367" s="23"/>
      <c r="C367" s="59" t="s">
        <v>93</v>
      </c>
      <c r="D367" s="143">
        <v>8.3333333333333343E-2</v>
      </c>
      <c r="E367" s="24"/>
      <c r="F367" s="24"/>
      <c r="G367" s="90"/>
      <c r="H367" s="24"/>
      <c r="I367" s="24"/>
      <c r="J367" s="24"/>
      <c r="K367" s="24"/>
      <c r="L367" s="24"/>
      <c r="M367" s="24"/>
      <c r="N367" s="25"/>
    </row>
    <row r="368" spans="1:15" ht="15.95" customHeight="1" x14ac:dyDescent="0.25">
      <c r="A368" s="121"/>
      <c r="B368" s="23"/>
      <c r="C368" s="63"/>
      <c r="D368" s="145"/>
      <c r="E368" s="24"/>
      <c r="F368" s="24"/>
      <c r="G368" s="90"/>
      <c r="H368" s="638" t="s">
        <v>44</v>
      </c>
      <c r="I368" s="639"/>
      <c r="J368" s="639"/>
      <c r="K368" s="639"/>
      <c r="L368" s="639"/>
      <c r="M368" s="640"/>
      <c r="N368" s="25"/>
    </row>
    <row r="369" spans="1:14" ht="15.95" customHeight="1" x14ac:dyDescent="0.25">
      <c r="A369" s="121"/>
      <c r="B369" s="23"/>
      <c r="C369" s="24"/>
      <c r="D369" s="24"/>
      <c r="E369" s="24"/>
      <c r="F369" s="24"/>
      <c r="G369" s="90"/>
      <c r="H369" s="19"/>
      <c r="I369" s="20"/>
      <c r="J369" s="20"/>
      <c r="K369" s="20"/>
      <c r="L369" s="20"/>
      <c r="M369" s="21"/>
      <c r="N369" s="25"/>
    </row>
    <row r="370" spans="1:14" ht="15.95" customHeight="1" x14ac:dyDescent="0.25">
      <c r="A370" s="121"/>
      <c r="B370" s="23"/>
      <c r="C370" s="24"/>
      <c r="D370" s="24"/>
      <c r="E370" s="24"/>
      <c r="F370" s="24"/>
      <c r="G370" s="90"/>
      <c r="H370" s="23"/>
      <c r="I370" s="24"/>
      <c r="J370" s="24"/>
      <c r="K370" s="24"/>
      <c r="L370" s="24"/>
      <c r="M370" s="25"/>
      <c r="N370" s="25"/>
    </row>
    <row r="371" spans="1:14" ht="15.95" customHeight="1" x14ac:dyDescent="0.25">
      <c r="A371" s="121"/>
      <c r="B371" s="23"/>
      <c r="C371" s="24"/>
      <c r="D371" s="24"/>
      <c r="E371" s="24"/>
      <c r="F371" s="24"/>
      <c r="G371" s="90"/>
      <c r="H371" s="96"/>
      <c r="I371" s="35"/>
      <c r="J371" s="24"/>
      <c r="K371" s="24"/>
      <c r="L371" s="24"/>
      <c r="M371" s="25"/>
      <c r="N371" s="25"/>
    </row>
    <row r="372" spans="1:14" ht="15.95" customHeight="1" x14ac:dyDescent="0.25">
      <c r="A372" s="121"/>
      <c r="B372" s="23"/>
      <c r="C372" s="24"/>
      <c r="D372" s="24"/>
      <c r="E372" s="24"/>
      <c r="F372" s="24"/>
      <c r="G372" s="90"/>
      <c r="H372" s="23"/>
      <c r="I372" s="24"/>
      <c r="J372" s="24"/>
      <c r="K372" s="24"/>
      <c r="L372" s="24"/>
      <c r="M372" s="25"/>
      <c r="N372" s="25"/>
    </row>
    <row r="373" spans="1:14" ht="15.95" customHeight="1" x14ac:dyDescent="0.25">
      <c r="A373" s="121"/>
      <c r="B373" s="23"/>
      <c r="C373" s="24"/>
      <c r="D373" s="24"/>
      <c r="E373" s="24"/>
      <c r="F373" s="24"/>
      <c r="G373" s="90"/>
      <c r="H373" s="23"/>
      <c r="I373" s="24"/>
      <c r="J373" s="24"/>
      <c r="K373" s="24"/>
      <c r="L373" s="24"/>
      <c r="M373" s="25"/>
      <c r="N373" s="25"/>
    </row>
    <row r="374" spans="1:14" ht="15.95" customHeight="1" x14ac:dyDescent="0.25">
      <c r="A374" s="121"/>
      <c r="B374" s="23"/>
      <c r="C374" s="24"/>
      <c r="D374" s="24"/>
      <c r="E374" s="24"/>
      <c r="F374" s="24"/>
      <c r="G374" s="90"/>
      <c r="H374" s="23"/>
      <c r="I374" s="24"/>
      <c r="J374" s="24"/>
      <c r="K374" s="24"/>
      <c r="L374" s="24"/>
      <c r="M374" s="25"/>
      <c r="N374" s="25"/>
    </row>
    <row r="375" spans="1:14" ht="15.95" customHeight="1" x14ac:dyDescent="0.25">
      <c r="A375" s="121"/>
      <c r="B375" s="23"/>
      <c r="C375" s="24"/>
      <c r="D375" s="24"/>
      <c r="E375" s="24"/>
      <c r="F375" s="24"/>
      <c r="G375" s="90"/>
      <c r="H375" s="23"/>
      <c r="I375" s="24"/>
      <c r="J375" s="24"/>
      <c r="K375" s="24"/>
      <c r="L375" s="24"/>
      <c r="M375" s="25"/>
      <c r="N375" s="25"/>
    </row>
    <row r="376" spans="1:14" ht="15.95" customHeight="1" x14ac:dyDescent="0.25">
      <c r="A376" s="121"/>
      <c r="B376" s="23"/>
      <c r="C376" s="24"/>
      <c r="D376" s="24"/>
      <c r="E376" s="24"/>
      <c r="F376" s="24"/>
      <c r="G376" s="90"/>
      <c r="H376" s="23"/>
      <c r="I376" s="24"/>
      <c r="J376" s="24"/>
      <c r="K376" s="24"/>
      <c r="L376" s="24"/>
      <c r="M376" s="25"/>
      <c r="N376" s="25"/>
    </row>
    <row r="377" spans="1:14" ht="15.95" customHeight="1" x14ac:dyDescent="0.25">
      <c r="A377" s="121"/>
      <c r="B377" s="23"/>
      <c r="C377" s="24"/>
      <c r="D377" s="24"/>
      <c r="E377" s="24"/>
      <c r="F377" s="24"/>
      <c r="G377" s="90"/>
      <c r="H377" s="23"/>
      <c r="I377" s="24"/>
      <c r="J377" s="24"/>
      <c r="K377" s="24"/>
      <c r="L377" s="24"/>
      <c r="M377" s="25"/>
      <c r="N377" s="25"/>
    </row>
    <row r="378" spans="1:14" ht="15.95" customHeight="1" x14ac:dyDescent="0.25">
      <c r="A378" s="121"/>
      <c r="B378" s="23"/>
      <c r="C378" s="24"/>
      <c r="D378" s="24"/>
      <c r="E378" s="24"/>
      <c r="F378" s="24"/>
      <c r="G378" s="90"/>
      <c r="H378" s="23"/>
      <c r="I378" s="24"/>
      <c r="J378" s="24"/>
      <c r="K378" s="24"/>
      <c r="L378" s="24"/>
      <c r="M378" s="25"/>
      <c r="N378" s="25"/>
    </row>
    <row r="379" spans="1:14" ht="15.95" customHeight="1" x14ac:dyDescent="0.25">
      <c r="A379" s="121"/>
      <c r="B379" s="23"/>
      <c r="C379" s="24"/>
      <c r="D379" s="24"/>
      <c r="E379" s="24"/>
      <c r="F379" s="24"/>
      <c r="G379" s="90"/>
      <c r="H379" s="23"/>
      <c r="I379" s="24"/>
      <c r="J379" s="24"/>
      <c r="K379" s="24"/>
      <c r="L379" s="24"/>
      <c r="M379" s="25"/>
      <c r="N379" s="25"/>
    </row>
    <row r="380" spans="1:14" ht="15.95" customHeight="1" x14ac:dyDescent="0.25">
      <c r="A380" s="121"/>
      <c r="B380" s="23"/>
      <c r="C380" s="24"/>
      <c r="D380" s="24"/>
      <c r="E380" s="24"/>
      <c r="F380" s="24"/>
      <c r="G380" s="90"/>
      <c r="H380" s="26"/>
      <c r="I380" s="27"/>
      <c r="J380" s="27"/>
      <c r="K380" s="27"/>
      <c r="L380" s="27"/>
      <c r="M380" s="28"/>
      <c r="N380" s="25"/>
    </row>
    <row r="381" spans="1:14" ht="15.95" customHeight="1" x14ac:dyDescent="0.25">
      <c r="A381" s="121"/>
      <c r="B381" s="26"/>
      <c r="C381" s="27"/>
      <c r="D381" s="27"/>
      <c r="E381" s="27"/>
      <c r="F381" s="27"/>
      <c r="G381" s="91"/>
      <c r="H381" s="27"/>
      <c r="I381" s="27"/>
      <c r="J381" s="27"/>
      <c r="K381" s="27"/>
      <c r="L381" s="27"/>
      <c r="M381" s="27"/>
      <c r="N381" s="28"/>
    </row>
    <row r="382" spans="1:14" ht="15.95" customHeight="1" x14ac:dyDescent="0.25">
      <c r="A382" s="121"/>
      <c r="B382" s="19"/>
      <c r="C382" s="20"/>
      <c r="D382" s="20"/>
      <c r="E382" s="20"/>
      <c r="F382" s="20"/>
      <c r="G382" s="20"/>
      <c r="H382" s="20"/>
      <c r="I382" s="20"/>
      <c r="J382" s="20"/>
      <c r="K382" s="20"/>
      <c r="L382" s="20"/>
      <c r="M382" s="20"/>
      <c r="N382" s="21"/>
    </row>
    <row r="383" spans="1:14" ht="15.95" customHeight="1" x14ac:dyDescent="0.25">
      <c r="A383" s="121"/>
      <c r="B383" s="683" t="s">
        <v>145</v>
      </c>
      <c r="C383" s="684"/>
      <c r="D383" s="684"/>
      <c r="E383" s="684"/>
      <c r="F383" s="684"/>
      <c r="G383" s="684"/>
      <c r="H383" s="684"/>
      <c r="I383" s="684"/>
      <c r="J383" s="684"/>
      <c r="K383" s="684"/>
      <c r="L383" s="684"/>
      <c r="M383" s="684"/>
      <c r="N383" s="685"/>
    </row>
    <row r="384" spans="1:14" ht="15.95" customHeight="1" x14ac:dyDescent="0.25">
      <c r="A384" s="121"/>
      <c r="B384" s="23"/>
      <c r="C384" s="24"/>
      <c r="D384" s="24"/>
      <c r="E384" s="24"/>
      <c r="F384" s="31"/>
      <c r="G384" s="87"/>
      <c r="H384" s="31"/>
      <c r="I384" s="31"/>
      <c r="J384" s="24"/>
      <c r="K384" s="24"/>
      <c r="L384" s="24"/>
      <c r="M384" s="24"/>
      <c r="N384" s="25"/>
    </row>
    <row r="385" spans="1:15" ht="15.95" customHeight="1" x14ac:dyDescent="0.25">
      <c r="A385" s="121"/>
      <c r="B385" s="23"/>
      <c r="C385" s="638" t="s">
        <v>37</v>
      </c>
      <c r="D385" s="639"/>
      <c r="E385" s="640"/>
      <c r="F385" s="31"/>
      <c r="G385" s="87"/>
      <c r="H385" s="641" t="s">
        <v>28</v>
      </c>
      <c r="I385" s="642"/>
      <c r="J385" s="39">
        <f>+$D$405-SUMIF($H$391:$H$404,"&lt;"&amp;$M$4,$K$391:$K$404)</f>
        <v>0</v>
      </c>
      <c r="K385" s="24"/>
      <c r="L385" s="24"/>
      <c r="M385" s="24"/>
      <c r="N385" s="25"/>
    </row>
    <row r="386" spans="1:15" ht="15.95" customHeight="1" x14ac:dyDescent="0.25">
      <c r="A386" s="121"/>
      <c r="B386" s="23"/>
      <c r="C386" s="58"/>
      <c r="D386" s="664"/>
      <c r="E386" s="665"/>
      <c r="F386" s="31"/>
      <c r="G386" s="87"/>
      <c r="H386" s="645" t="s">
        <v>29</v>
      </c>
      <c r="I386" s="646"/>
      <c r="J386" s="40">
        <f>+$D$404</f>
        <v>44633</v>
      </c>
      <c r="K386" s="24"/>
      <c r="L386" s="24"/>
      <c r="M386" s="24"/>
      <c r="N386" s="25"/>
      <c r="O386" s="194" t="str">
        <f>+D469</f>
        <v>ON Pyme CNV Garantizada</v>
      </c>
    </row>
    <row r="387" spans="1:15" ht="15.95" customHeight="1" x14ac:dyDescent="0.25">
      <c r="A387" s="121"/>
      <c r="B387" s="23"/>
      <c r="C387" s="59" t="s">
        <v>25</v>
      </c>
      <c r="D387" s="681"/>
      <c r="E387" s="682"/>
      <c r="F387" s="31"/>
      <c r="G387" s="87"/>
      <c r="H387" s="649" t="s">
        <v>30</v>
      </c>
      <c r="I387" s="650"/>
      <c r="J387" s="42" t="str">
        <f t="array" ref="J387">+IF(H404&gt;=M4,MIN(IF($H$391:$H$404&gt;$M$4,$H$391:$H$404,"")),"vencida")</f>
        <v>vencida</v>
      </c>
      <c r="K387" s="24"/>
      <c r="L387" s="24"/>
      <c r="M387" s="24"/>
      <c r="N387" s="25"/>
    </row>
    <row r="388" spans="1:15" ht="15.95" customHeight="1" x14ac:dyDescent="0.25">
      <c r="A388" s="121"/>
      <c r="B388" s="23"/>
      <c r="C388" s="59" t="s">
        <v>6</v>
      </c>
      <c r="D388" s="681" t="s">
        <v>92</v>
      </c>
      <c r="E388" s="682"/>
      <c r="F388" s="31"/>
      <c r="G388" s="87"/>
      <c r="H388" s="24"/>
      <c r="I388" s="24"/>
      <c r="J388" s="24"/>
      <c r="K388" s="24"/>
      <c r="L388" s="24"/>
      <c r="M388" s="24"/>
      <c r="N388" s="25"/>
      <c r="O388" s="194" t="str">
        <f>+IF(J467="vencida",IF(D469='Reporte - Oscuro'!$C$40,'Reporte - Oscuro'!$C$40&amp;" vencida",IF(D469='Reporte - Oscuro'!$C$41,'Reporte - Oscuro'!$C$41&amp;" vencida",IF(D469='Reporte - Oscuro'!$C$42,'Reporte - Oscuro'!$C$42&amp;" vencida",'Reporte - Oscuro'!$C$43&amp;" vencida"))),D469&amp;" vigente")</f>
        <v>ON Pyme CNV Garantizada vencida</v>
      </c>
    </row>
    <row r="389" spans="1:15" ht="15.95" customHeight="1" x14ac:dyDescent="0.25">
      <c r="A389" s="121"/>
      <c r="B389" s="23"/>
      <c r="C389" s="59" t="s">
        <v>8</v>
      </c>
      <c r="D389" s="681" t="s">
        <v>17</v>
      </c>
      <c r="E389" s="682"/>
      <c r="F389" s="31"/>
      <c r="G389" s="87"/>
      <c r="H389" s="677" t="s">
        <v>41</v>
      </c>
      <c r="I389" s="678"/>
      <c r="J389" s="678"/>
      <c r="K389" s="678"/>
      <c r="L389" s="679"/>
      <c r="M389" s="24"/>
      <c r="N389" s="25"/>
    </row>
    <row r="390" spans="1:15" ht="15.95" customHeight="1" x14ac:dyDescent="0.25">
      <c r="A390" s="121"/>
      <c r="B390" s="23"/>
      <c r="C390" s="59" t="s">
        <v>33</v>
      </c>
      <c r="D390" s="132" t="s">
        <v>309</v>
      </c>
      <c r="E390" s="274">
        <v>1</v>
      </c>
      <c r="F390" s="281">
        <f>+E390*J385</f>
        <v>0</v>
      </c>
      <c r="G390" s="87"/>
      <c r="H390" s="146" t="s">
        <v>0</v>
      </c>
      <c r="I390" s="147" t="s">
        <v>2</v>
      </c>
      <c r="J390" s="147" t="s">
        <v>3</v>
      </c>
      <c r="K390" s="147" t="s">
        <v>4</v>
      </c>
      <c r="L390" s="148" t="s">
        <v>5</v>
      </c>
      <c r="M390" s="148" t="s">
        <v>44</v>
      </c>
      <c r="N390" s="25"/>
    </row>
    <row r="391" spans="1:15" ht="15.95" customHeight="1" x14ac:dyDescent="0.25">
      <c r="A391" s="121"/>
      <c r="B391" s="23"/>
      <c r="C391" s="59" t="s">
        <v>34</v>
      </c>
      <c r="D391" s="681" t="s">
        <v>35</v>
      </c>
      <c r="E391" s="682"/>
      <c r="F391" s="31"/>
      <c r="G391" s="87"/>
      <c r="H391" s="45"/>
      <c r="I391" s="46"/>
      <c r="J391" s="46"/>
      <c r="K391" s="46"/>
      <c r="L391" s="47"/>
      <c r="M391" s="101"/>
      <c r="N391" s="25"/>
    </row>
    <row r="392" spans="1:15" ht="15.95" customHeight="1" x14ac:dyDescent="0.25">
      <c r="A392" s="121"/>
      <c r="B392" s="23"/>
      <c r="C392" s="79" t="s">
        <v>38</v>
      </c>
      <c r="D392" s="130"/>
      <c r="E392" s="131"/>
      <c r="F392" s="31"/>
      <c r="G392" s="87"/>
      <c r="H392" s="48">
        <f>+$D$403</f>
        <v>43537</v>
      </c>
      <c r="I392" s="136"/>
      <c r="J392" s="49"/>
      <c r="K392" s="49"/>
      <c r="L392" s="50">
        <f>+D405</f>
        <v>80000</v>
      </c>
      <c r="M392" s="102">
        <f>-L392</f>
        <v>-80000</v>
      </c>
      <c r="N392" s="25"/>
    </row>
    <row r="393" spans="1:15" ht="15.95" customHeight="1" x14ac:dyDescent="0.25">
      <c r="A393" s="121"/>
      <c r="B393" s="23"/>
      <c r="C393" s="59"/>
      <c r="D393" s="132"/>
      <c r="E393" s="133"/>
      <c r="F393" s="31"/>
      <c r="G393" s="87"/>
      <c r="H393" s="51">
        <f>IF(DAY(H392)=DAY($H$392),IF(WEEKDAY(EDATE(H392,$D$406),3)&lt;5,EDATE(H392,$D$406),WORKDAY(EDATE(H392,$D$406),1)),IF(WEEKDAY(EDATE($H$392,$D$406*COUNT($H$392:H392)),3)&lt;5,EDATE($H$392,$D$406*COUNT($H$392:H392)),WORKDAY(EDATE($H$392,$D$406*COUNT($H$392:H392)),1)))</f>
        <v>43629</v>
      </c>
      <c r="I393" s="137" t="s">
        <v>13</v>
      </c>
      <c r="J393" s="52">
        <f t="shared" ref="J393:J404" si="28">+(($D$408/365)*(H393-H392))*L392</f>
        <v>1703.8904109589043</v>
      </c>
      <c r="K393" s="52">
        <f t="shared" ref="K393:K404" si="29">+IF(OR(I393="A + C",I393="A"),$L$392*$D$409,0)</f>
        <v>6666.666666666667</v>
      </c>
      <c r="L393" s="53">
        <f t="shared" ref="L393:L404" si="30">+L392-K393</f>
        <v>73333.333333333328</v>
      </c>
      <c r="M393" s="103">
        <f t="shared" ref="M393:M404" si="31">+J393+K393</f>
        <v>8370.5570776255718</v>
      </c>
      <c r="N393" s="25"/>
      <c r="O393" s="97">
        <f>+M472</f>
        <v>-700000</v>
      </c>
    </row>
    <row r="394" spans="1:15" ht="15.95" customHeight="1" x14ac:dyDescent="0.25">
      <c r="A394" s="121"/>
      <c r="B394" s="23"/>
      <c r="C394" s="60"/>
      <c r="D394" s="134"/>
      <c r="E394" s="135"/>
      <c r="F394" s="34"/>
      <c r="G394" s="88"/>
      <c r="H394" s="51">
        <f>IF(DAY(H393)=DAY($H$392),IF(WEEKDAY(EDATE(H393,$D$406),3)&lt;5,EDATE(H393,$D$406),WORKDAY(EDATE(H393,$D$406),1)),IF(WEEKDAY(EDATE($H$392,$D$406*COUNT($H$392:H393)),3)&lt;5,EDATE($H$392,$D$406*COUNT($H$392:H393)),WORKDAY(EDATE($H$392,$D$406*COUNT($H$392:H393)),1)))</f>
        <v>43721</v>
      </c>
      <c r="I394" s="137" t="s">
        <v>13</v>
      </c>
      <c r="J394" s="52">
        <f t="shared" si="28"/>
        <v>1561.8995433789955</v>
      </c>
      <c r="K394" s="52">
        <f t="shared" si="29"/>
        <v>6666.666666666667</v>
      </c>
      <c r="L394" s="53">
        <f t="shared" si="30"/>
        <v>66666.666666666657</v>
      </c>
      <c r="M394" s="103">
        <f t="shared" si="31"/>
        <v>8228.566210045663</v>
      </c>
      <c r="N394" s="25"/>
      <c r="O394" s="97">
        <f t="shared" ref="O394:O399" si="32">+M473+O393</f>
        <v>-673246.57534246577</v>
      </c>
    </row>
    <row r="395" spans="1:15" ht="15.95" customHeight="1" x14ac:dyDescent="0.25">
      <c r="A395" s="121"/>
      <c r="B395" s="23"/>
      <c r="C395" s="60"/>
      <c r="D395" s="55" t="str">
        <f>B383</f>
        <v>Cerealera Puntana II</v>
      </c>
      <c r="E395" s="64"/>
      <c r="F395" s="34"/>
      <c r="G395" s="88">
        <f>J385</f>
        <v>0</v>
      </c>
      <c r="H395" s="51">
        <f>IF(DAY(H394)=DAY($H$392),IF(WEEKDAY(EDATE(H394,$D$406),3)&lt;5,EDATE(H394,$D$406),WORKDAY(EDATE(H394,$D$406),1)),IF(WEEKDAY(EDATE($H$392,$D$406*COUNT($H$392:H394)),3)&lt;5,EDATE($H$392,$D$406*COUNT($H$392:H394)),WORKDAY(EDATE($H$392,$D$406*COUNT($H$392:H394)),1)))</f>
        <v>43812</v>
      </c>
      <c r="I395" s="137" t="s">
        <v>13</v>
      </c>
      <c r="J395" s="52">
        <f t="shared" si="28"/>
        <v>1404.4748858447488</v>
      </c>
      <c r="K395" s="52">
        <f t="shared" si="29"/>
        <v>6666.666666666667</v>
      </c>
      <c r="L395" s="53">
        <f t="shared" si="30"/>
        <v>59999.999999999993</v>
      </c>
      <c r="M395" s="103">
        <f t="shared" si="31"/>
        <v>8071.1415525114153</v>
      </c>
      <c r="N395" s="25"/>
      <c r="O395" s="97">
        <f t="shared" si="32"/>
        <v>-414166.66666666663</v>
      </c>
    </row>
    <row r="396" spans="1:15" ht="15.95" customHeight="1" x14ac:dyDescent="0.25">
      <c r="A396" s="121"/>
      <c r="B396" s="32"/>
      <c r="D396" s="644"/>
      <c r="E396" s="660"/>
      <c r="F396" s="34"/>
      <c r="G396" s="88"/>
      <c r="H396" s="51">
        <f>IF(DAY(H395)=DAY($H$392),IF(WEEKDAY(EDATE(H395,$D$406),3)&lt;5,EDATE(H395,$D$406),WORKDAY(EDATE(H395,$D$406),1)),IF(WEEKDAY(EDATE($H$392,$D$406*COUNT($H$392:H395)),3)&lt;5,EDATE($H$392,$D$406*COUNT($H$392:H395)),WORKDAY(EDATE($H$392,$D$406*COUNT($H$392:H395)),1)))</f>
        <v>43903</v>
      </c>
      <c r="I396" s="137" t="s">
        <v>13</v>
      </c>
      <c r="J396" s="52">
        <f t="shared" si="28"/>
        <v>1264.0273972602738</v>
      </c>
      <c r="K396" s="52">
        <f t="shared" si="29"/>
        <v>6666.666666666667</v>
      </c>
      <c r="L396" s="53">
        <f t="shared" si="30"/>
        <v>53333.333333333328</v>
      </c>
      <c r="M396" s="103">
        <f t="shared" si="31"/>
        <v>7930.6940639269405</v>
      </c>
      <c r="N396" s="25"/>
      <c r="O396" s="97">
        <f t="shared" si="32"/>
        <v>-396426.94063926936</v>
      </c>
    </row>
    <row r="397" spans="1:15" ht="15.95" customHeight="1" x14ac:dyDescent="0.25">
      <c r="A397" s="121"/>
      <c r="B397" s="23"/>
      <c r="C397" s="638" t="s">
        <v>36</v>
      </c>
      <c r="D397" s="640"/>
      <c r="E397" s="36"/>
      <c r="F397" s="34"/>
      <c r="G397" s="88"/>
      <c r="H397" s="51">
        <f>IF(DAY(H396)=DAY($H$392),IF(WEEKDAY(EDATE(H396,$D$406),3)&lt;5,EDATE(H396,$D$406),WORKDAY(EDATE(H396,$D$406),1)),IF(WEEKDAY(EDATE($H$392,$D$406*COUNT($H$392:H396)),3)&lt;5,EDATE($H$392,$D$406*COUNT($H$392:H396)),WORKDAY(EDATE($H$392,$D$406*COUNT($H$392:H396)),1)))</f>
        <v>43997</v>
      </c>
      <c r="I397" s="137" t="s">
        <v>13</v>
      </c>
      <c r="J397" s="52">
        <f t="shared" si="28"/>
        <v>1160.6210045662099</v>
      </c>
      <c r="K397" s="52">
        <f t="shared" si="29"/>
        <v>6666.666666666667</v>
      </c>
      <c r="L397" s="53">
        <f t="shared" si="30"/>
        <v>46666.666666666664</v>
      </c>
      <c r="M397" s="103">
        <f t="shared" si="31"/>
        <v>7827.2876712328771</v>
      </c>
      <c r="N397" s="25"/>
      <c r="O397" s="97">
        <f t="shared" si="32"/>
        <v>-145641.55251141544</v>
      </c>
    </row>
    <row r="398" spans="1:15" ht="15.95" customHeight="1" x14ac:dyDescent="0.25">
      <c r="A398" s="121"/>
      <c r="B398" s="23"/>
      <c r="C398" s="59"/>
      <c r="D398" s="62"/>
      <c r="E398" s="36"/>
      <c r="F398" s="36"/>
      <c r="G398" s="89"/>
      <c r="H398" s="51">
        <f>IF(DAY(H397)=DAY($H$392),IF(WEEKDAY(EDATE(H397,$D$406),3)&lt;5,EDATE(H397,$D$406),WORKDAY(EDATE(H397,$D$406),1)),IF(WEEKDAY(EDATE($H$392,$D$406*COUNT($H$392:H397)),3)&lt;5,EDATE($H$392,$D$406*COUNT($H$392:H397)),WORKDAY(EDATE($H$392,$D$406*COUNT($H$392:H397)),1)))</f>
        <v>44088</v>
      </c>
      <c r="I398" s="137" t="s">
        <v>13</v>
      </c>
      <c r="J398" s="52">
        <f t="shared" si="28"/>
        <v>983.13242009132421</v>
      </c>
      <c r="K398" s="52">
        <f t="shared" si="29"/>
        <v>6666.666666666667</v>
      </c>
      <c r="L398" s="53">
        <f t="shared" si="30"/>
        <v>40000</v>
      </c>
      <c r="M398" s="103">
        <f t="shared" si="31"/>
        <v>7649.7990867579911</v>
      </c>
      <c r="N398" s="25"/>
      <c r="O398" s="97">
        <f t="shared" si="32"/>
        <v>-136867.57990867572</v>
      </c>
    </row>
    <row r="399" spans="1:15" ht="15.95" customHeight="1" x14ac:dyDescent="0.25">
      <c r="A399" s="121"/>
      <c r="B399" s="23"/>
      <c r="C399" s="59" t="s">
        <v>9</v>
      </c>
      <c r="D399" s="129" t="s">
        <v>49</v>
      </c>
      <c r="E399" s="36"/>
      <c r="F399" s="36"/>
      <c r="G399" s="89"/>
      <c r="H399" s="51">
        <f>IF(DAY(H398)=DAY($H$392),IF(WEEKDAY(EDATE(H398,$D$406),3)&lt;5,EDATE(H398,$D$406),WORKDAY(EDATE(H398,$D$406),1)),IF(WEEKDAY(EDATE($H$392,$D$406*COUNT($H$392:H398)),3)&lt;5,EDATE($H$392,$D$406*COUNT($H$392:H398)),WORKDAY(EDATE($H$392,$D$406*COUNT($H$392:H398)),1)))</f>
        <v>44179</v>
      </c>
      <c r="I399" s="137" t="s">
        <v>13</v>
      </c>
      <c r="J399" s="52">
        <f t="shared" si="28"/>
        <v>842.68493150684935</v>
      </c>
      <c r="K399" s="52">
        <f t="shared" si="29"/>
        <v>6666.666666666667</v>
      </c>
      <c r="L399" s="53">
        <f t="shared" si="30"/>
        <v>33333.333333333336</v>
      </c>
      <c r="M399" s="103">
        <f t="shared" si="31"/>
        <v>7509.3515981735163</v>
      </c>
      <c r="N399" s="25"/>
      <c r="O399" s="97">
        <f t="shared" si="32"/>
        <v>105143.83561643847</v>
      </c>
    </row>
    <row r="400" spans="1:15" ht="15.95" customHeight="1" x14ac:dyDescent="0.25">
      <c r="A400" s="121"/>
      <c r="B400" s="23"/>
      <c r="C400" s="59" t="s">
        <v>51</v>
      </c>
      <c r="D400" s="138" t="s">
        <v>18</v>
      </c>
      <c r="E400" s="36"/>
      <c r="F400" s="36"/>
      <c r="G400" s="89"/>
      <c r="H400" s="51">
        <f>IF(DAY(H399)=DAY($H$392),IF(WEEKDAY(EDATE(H399,$D$406),3)&lt;5,EDATE(H399,$D$406),WORKDAY(EDATE(H399,$D$406),1)),IF(WEEKDAY(EDATE($H$392,$D$406*COUNT($H$392:H399)),3)&lt;5,EDATE($H$392,$D$406*COUNT($H$392:H399)),WORKDAY(EDATE($H$392,$D$406*COUNT($H$392:H399)),1)))</f>
        <v>44270</v>
      </c>
      <c r="I400" s="137" t="s">
        <v>13</v>
      </c>
      <c r="J400" s="52">
        <f t="shared" si="28"/>
        <v>702.2374429223745</v>
      </c>
      <c r="K400" s="52">
        <f t="shared" si="29"/>
        <v>6666.666666666667</v>
      </c>
      <c r="L400" s="53">
        <f t="shared" si="30"/>
        <v>26666.666666666668</v>
      </c>
      <c r="M400" s="103">
        <f t="shared" si="31"/>
        <v>7368.9041095890416</v>
      </c>
      <c r="N400" s="25"/>
    </row>
    <row r="401" spans="1:14" ht="15.95" customHeight="1" x14ac:dyDescent="0.25">
      <c r="A401" s="121"/>
      <c r="B401" s="23"/>
      <c r="C401" s="59" t="s">
        <v>52</v>
      </c>
      <c r="D401" s="138" t="s">
        <v>18</v>
      </c>
      <c r="E401" s="36"/>
      <c r="F401" s="36"/>
      <c r="G401" s="89"/>
      <c r="H401" s="51">
        <f>IF(DAY(H400)=DAY($H$392),IF(WEEKDAY(EDATE(H400,$D$406),3)&lt;5,EDATE(H400,$D$406),WORKDAY(EDATE(H400,$D$406),1)),IF(WEEKDAY(EDATE($H$392,$D$406*COUNT($H$392:H400)),3)&lt;5,EDATE($H$392,$D$406*COUNT($H$392:H400)),WORKDAY(EDATE($H$392,$D$406*COUNT($H$392:H400)),1)))</f>
        <v>44361</v>
      </c>
      <c r="I401" s="137" t="s">
        <v>13</v>
      </c>
      <c r="J401" s="52">
        <f t="shared" si="28"/>
        <v>561.78995433789964</v>
      </c>
      <c r="K401" s="52">
        <f t="shared" si="29"/>
        <v>6666.666666666667</v>
      </c>
      <c r="L401" s="53">
        <f t="shared" si="30"/>
        <v>20000</v>
      </c>
      <c r="M401" s="103">
        <f t="shared" si="31"/>
        <v>7228.4566210045668</v>
      </c>
      <c r="N401" s="25"/>
    </row>
    <row r="402" spans="1:14" ht="15.95" customHeight="1" x14ac:dyDescent="0.25">
      <c r="A402" s="121"/>
      <c r="B402" s="23"/>
      <c r="C402" s="59" t="s">
        <v>10</v>
      </c>
      <c r="D402" s="139">
        <v>43530</v>
      </c>
      <c r="E402" s="36"/>
      <c r="F402" s="36"/>
      <c r="G402" s="89"/>
      <c r="H402" s="51">
        <f>IF(DAY(H401)=DAY($H$392),IF(WEEKDAY(EDATE(H401,$D$406),3)&lt;5,EDATE(H401,$D$406),WORKDAY(EDATE(H401,$D$406),1)),IF(WEEKDAY(EDATE($H$392,$D$406*COUNT($H$392:H401)),3)&lt;5,EDATE($H$392,$D$406*COUNT($H$392:H401)),WORKDAY(EDATE($H$392,$D$406*COUNT($H$392:H401)),1)))</f>
        <v>44452</v>
      </c>
      <c r="I402" s="137" t="s">
        <v>13</v>
      </c>
      <c r="J402" s="52">
        <f t="shared" si="28"/>
        <v>421.34246575342468</v>
      </c>
      <c r="K402" s="52">
        <f t="shared" si="29"/>
        <v>6666.666666666667</v>
      </c>
      <c r="L402" s="53">
        <f t="shared" si="30"/>
        <v>13333.333333333332</v>
      </c>
      <c r="M402" s="103">
        <f t="shared" si="31"/>
        <v>7088.0091324200912</v>
      </c>
      <c r="N402" s="25"/>
    </row>
    <row r="403" spans="1:14" ht="15.95" customHeight="1" x14ac:dyDescent="0.25">
      <c r="A403" s="121"/>
      <c r="B403" s="23"/>
      <c r="C403" s="59" t="s">
        <v>11</v>
      </c>
      <c r="D403" s="139">
        <v>43537</v>
      </c>
      <c r="E403" s="41"/>
      <c r="F403" s="24"/>
      <c r="G403" s="90"/>
      <c r="H403" s="51">
        <f>IF(DAY(H402)=DAY($H$392),IF(WEEKDAY(EDATE(H402,$D$406),3)&lt;5,EDATE(H402,$D$406),WORKDAY(EDATE(H402,$D$406),1)),IF(WEEKDAY(EDATE($H$392,$D$406*COUNT($H$392:H402)),3)&lt;5,EDATE($H$392,$D$406*COUNT($H$392:H402)),WORKDAY(EDATE($H$392,$D$406*COUNT($H$392:H402)),1)))</f>
        <v>44543</v>
      </c>
      <c r="I403" s="137" t="s">
        <v>13</v>
      </c>
      <c r="J403" s="52">
        <f t="shared" si="28"/>
        <v>280.89497716894977</v>
      </c>
      <c r="K403" s="52">
        <f t="shared" si="29"/>
        <v>6666.666666666667</v>
      </c>
      <c r="L403" s="53">
        <f t="shared" si="30"/>
        <v>6666.6666666666652</v>
      </c>
      <c r="M403" s="103">
        <f t="shared" si="31"/>
        <v>6947.5616438356165</v>
      </c>
      <c r="N403" s="25"/>
    </row>
    <row r="404" spans="1:14" ht="15.95" customHeight="1" x14ac:dyDescent="0.25">
      <c r="A404" s="121"/>
      <c r="B404" s="23"/>
      <c r="C404" s="59" t="s">
        <v>12</v>
      </c>
      <c r="D404" s="139">
        <v>44633</v>
      </c>
      <c r="E404" s="36"/>
      <c r="F404" s="24"/>
      <c r="G404" s="90"/>
      <c r="H404" s="51">
        <f>IF(DAY(H403)=DAY($H$392),IF(WEEKDAY(EDATE(H403,$D$406),3)&lt;5,EDATE(H403,$D$406),WORKDAY(EDATE(H403,$D$406),1)),IF(WEEKDAY(EDATE($H$392,$D$406*COUNT($H$392:H403)),3)&lt;5,EDATE($H$392,$D$406*COUNT($H$392:H403)),WORKDAY(EDATE($H$392,$D$406*COUNT($H$392:H403)),1)))</f>
        <v>44634</v>
      </c>
      <c r="I404" s="137" t="s">
        <v>13</v>
      </c>
      <c r="J404" s="52">
        <f t="shared" si="28"/>
        <v>140.44748858447485</v>
      </c>
      <c r="K404" s="52">
        <f t="shared" si="29"/>
        <v>6666.666666666667</v>
      </c>
      <c r="L404" s="53">
        <f t="shared" si="30"/>
        <v>0</v>
      </c>
      <c r="M404" s="103">
        <f t="shared" si="31"/>
        <v>6807.1141552511417</v>
      </c>
      <c r="N404" s="25"/>
    </row>
    <row r="405" spans="1:14" ht="15.95" customHeight="1" x14ac:dyDescent="0.25">
      <c r="A405" s="121"/>
      <c r="B405" s="23"/>
      <c r="C405" s="59" t="s">
        <v>27</v>
      </c>
      <c r="D405" s="140">
        <v>80000</v>
      </c>
      <c r="E405" s="43"/>
      <c r="F405" s="24"/>
      <c r="G405" s="90"/>
      <c r="H405" s="54"/>
      <c r="I405" s="144"/>
      <c r="J405" s="105"/>
      <c r="K405" s="105"/>
      <c r="L405" s="106"/>
      <c r="M405" s="107"/>
      <c r="N405" s="25"/>
    </row>
    <row r="406" spans="1:14" ht="15.95" customHeight="1" x14ac:dyDescent="0.25">
      <c r="A406" s="121"/>
      <c r="B406" s="23"/>
      <c r="C406" s="59" t="s">
        <v>26</v>
      </c>
      <c r="D406" s="140">
        <v>3</v>
      </c>
      <c r="E406" s="43"/>
      <c r="F406" s="24"/>
      <c r="G406" s="90"/>
      <c r="H406" s="24"/>
      <c r="I406" s="24"/>
      <c r="J406" s="24"/>
      <c r="K406" s="24"/>
      <c r="L406" s="24"/>
      <c r="M406" s="24"/>
      <c r="N406" s="25"/>
    </row>
    <row r="407" spans="1:14" ht="15.95" customHeight="1" x14ac:dyDescent="0.25">
      <c r="A407" s="121"/>
      <c r="B407" s="23"/>
      <c r="C407" s="59" t="s">
        <v>19</v>
      </c>
      <c r="D407" s="141" t="s">
        <v>50</v>
      </c>
      <c r="E407" s="43"/>
      <c r="F407" s="24"/>
      <c r="G407" s="90"/>
      <c r="H407" s="680" t="s">
        <v>43</v>
      </c>
      <c r="I407" s="680"/>
      <c r="J407" s="92">
        <v>0</v>
      </c>
      <c r="K407" s="92"/>
      <c r="L407" s="24"/>
      <c r="M407" s="24"/>
      <c r="N407" s="25"/>
    </row>
    <row r="408" spans="1:14" ht="15.95" customHeight="1" x14ac:dyDescent="0.25">
      <c r="A408" s="121"/>
      <c r="B408" s="23"/>
      <c r="C408" s="59" t="s">
        <v>14</v>
      </c>
      <c r="D408" s="142">
        <v>8.4500000000000006E-2</v>
      </c>
      <c r="E408" s="44"/>
      <c r="F408" s="24"/>
      <c r="G408" s="90"/>
      <c r="H408" s="657"/>
      <c r="I408" s="657"/>
      <c r="J408" s="392"/>
      <c r="K408" s="24"/>
      <c r="L408" s="33"/>
      <c r="M408" s="33"/>
      <c r="N408" s="25"/>
    </row>
    <row r="409" spans="1:14" ht="15.95" customHeight="1" x14ac:dyDescent="0.25">
      <c r="A409" s="121"/>
      <c r="B409" s="23"/>
      <c r="C409" s="59" t="s">
        <v>93</v>
      </c>
      <c r="D409" s="143">
        <v>8.3333333333333343E-2</v>
      </c>
      <c r="E409" s="24"/>
      <c r="F409" s="24"/>
      <c r="G409" s="90"/>
      <c r="H409" s="24"/>
      <c r="I409" s="24"/>
      <c r="J409" s="24"/>
      <c r="K409" s="24"/>
      <c r="L409" s="24"/>
      <c r="M409" s="24"/>
      <c r="N409" s="25"/>
    </row>
    <row r="410" spans="1:14" ht="15.95" customHeight="1" x14ac:dyDescent="0.25">
      <c r="A410" s="121"/>
      <c r="B410" s="23"/>
      <c r="C410" s="63"/>
      <c r="D410" s="145"/>
      <c r="E410" s="24"/>
      <c r="F410" s="24"/>
      <c r="G410" s="90"/>
      <c r="H410" s="638" t="s">
        <v>44</v>
      </c>
      <c r="I410" s="639"/>
      <c r="J410" s="639"/>
      <c r="K410" s="639"/>
      <c r="L410" s="639"/>
      <c r="M410" s="640"/>
      <c r="N410" s="25"/>
    </row>
    <row r="411" spans="1:14" ht="15.95" customHeight="1" x14ac:dyDescent="0.25">
      <c r="A411" s="121"/>
      <c r="B411" s="23"/>
      <c r="C411" s="24"/>
      <c r="D411" s="24"/>
      <c r="E411" s="24"/>
      <c r="F411" s="24"/>
      <c r="G411" s="90"/>
      <c r="H411" s="23"/>
      <c r="I411" s="24"/>
      <c r="J411" s="24"/>
      <c r="K411" s="24"/>
      <c r="L411" s="24"/>
      <c r="M411" s="25"/>
      <c r="N411" s="25"/>
    </row>
    <row r="412" spans="1:14" ht="15.95" customHeight="1" x14ac:dyDescent="0.25">
      <c r="A412" s="121"/>
      <c r="B412" s="23"/>
      <c r="C412" s="24"/>
      <c r="D412" s="24"/>
      <c r="E412" s="24"/>
      <c r="F412" s="24"/>
      <c r="G412" s="90"/>
      <c r="H412" s="23"/>
      <c r="I412" s="24"/>
      <c r="J412" s="24"/>
      <c r="K412" s="24"/>
      <c r="L412" s="24"/>
      <c r="M412" s="25"/>
      <c r="N412" s="25"/>
    </row>
    <row r="413" spans="1:14" ht="15.95" customHeight="1" x14ac:dyDescent="0.25">
      <c r="A413" s="121"/>
      <c r="B413" s="23"/>
      <c r="C413" s="24"/>
      <c r="D413" s="24"/>
      <c r="E413" s="24"/>
      <c r="F413" s="24"/>
      <c r="G413" s="90"/>
      <c r="H413" s="96"/>
      <c r="I413" s="35"/>
      <c r="J413" s="24"/>
      <c r="K413" s="24"/>
      <c r="L413" s="24"/>
      <c r="M413" s="25"/>
      <c r="N413" s="25"/>
    </row>
    <row r="414" spans="1:14" ht="15.95" customHeight="1" x14ac:dyDescent="0.25">
      <c r="A414" s="121"/>
      <c r="B414" s="23"/>
      <c r="C414" s="24"/>
      <c r="D414" s="24"/>
      <c r="E414" s="24"/>
      <c r="F414" s="24"/>
      <c r="G414" s="90"/>
      <c r="H414" s="96"/>
      <c r="I414" s="35"/>
      <c r="J414" s="24"/>
      <c r="K414" s="24"/>
      <c r="L414" s="24"/>
      <c r="M414" s="25"/>
      <c r="N414" s="25"/>
    </row>
    <row r="415" spans="1:14" ht="15.95" customHeight="1" x14ac:dyDescent="0.25">
      <c r="A415" s="121"/>
      <c r="B415" s="23"/>
      <c r="C415" s="24"/>
      <c r="D415" s="24"/>
      <c r="E415" s="24"/>
      <c r="F415" s="24"/>
      <c r="G415" s="90"/>
      <c r="H415" s="96"/>
      <c r="I415" s="35"/>
      <c r="J415" s="24"/>
      <c r="K415" s="24"/>
      <c r="L415" s="24"/>
      <c r="M415" s="25"/>
      <c r="N415" s="25"/>
    </row>
    <row r="416" spans="1:14" ht="15.95" customHeight="1" x14ac:dyDescent="0.25">
      <c r="A416" s="121"/>
      <c r="B416" s="23"/>
      <c r="C416" s="24"/>
      <c r="D416" s="24"/>
      <c r="E416" s="24"/>
      <c r="F416" s="24"/>
      <c r="G416" s="90"/>
      <c r="H416" s="96"/>
      <c r="I416" s="35"/>
      <c r="J416" s="24"/>
      <c r="K416" s="24"/>
      <c r="L416" s="24"/>
      <c r="M416" s="25"/>
      <c r="N416" s="25"/>
    </row>
    <row r="417" spans="1:15" ht="15.95" customHeight="1" x14ac:dyDescent="0.25">
      <c r="A417" s="121"/>
      <c r="B417" s="23"/>
      <c r="C417" s="24"/>
      <c r="D417" s="24"/>
      <c r="E417" s="24"/>
      <c r="F417" s="24"/>
      <c r="G417" s="90"/>
      <c r="H417" s="96"/>
      <c r="I417" s="35"/>
      <c r="J417" s="24"/>
      <c r="K417" s="24"/>
      <c r="L417" s="24"/>
      <c r="M417" s="25"/>
      <c r="N417" s="25"/>
    </row>
    <row r="418" spans="1:15" ht="15.95" customHeight="1" x14ac:dyDescent="0.25">
      <c r="A418" s="121"/>
      <c r="B418" s="23"/>
      <c r="C418" s="24"/>
      <c r="D418" s="24"/>
      <c r="E418" s="24"/>
      <c r="F418" s="24"/>
      <c r="G418" s="90"/>
      <c r="H418" s="96"/>
      <c r="I418" s="35"/>
      <c r="J418" s="24"/>
      <c r="K418" s="24"/>
      <c r="L418" s="24"/>
      <c r="M418" s="25"/>
      <c r="N418" s="25"/>
    </row>
    <row r="419" spans="1:15" ht="15.95" customHeight="1" x14ac:dyDescent="0.25">
      <c r="A419" s="121"/>
      <c r="B419" s="23"/>
      <c r="C419" s="24"/>
      <c r="D419" s="24"/>
      <c r="E419" s="24"/>
      <c r="F419" s="24"/>
      <c r="G419" s="90"/>
      <c r="H419" s="96"/>
      <c r="I419" s="35"/>
      <c r="J419" s="24"/>
      <c r="K419" s="24"/>
      <c r="L419" s="24"/>
      <c r="M419" s="25"/>
      <c r="N419" s="25"/>
    </row>
    <row r="420" spans="1:15" ht="15.95" customHeight="1" x14ac:dyDescent="0.25">
      <c r="A420" s="121"/>
      <c r="B420" s="23"/>
      <c r="C420" s="24"/>
      <c r="D420" s="24"/>
      <c r="E420" s="24"/>
      <c r="F420" s="24"/>
      <c r="G420" s="90"/>
      <c r="H420" s="96"/>
      <c r="I420" s="35"/>
      <c r="J420" s="24"/>
      <c r="K420" s="24"/>
      <c r="L420" s="24"/>
      <c r="M420" s="25"/>
      <c r="N420" s="25"/>
    </row>
    <row r="421" spans="1:15" ht="15.95" customHeight="1" x14ac:dyDescent="0.25">
      <c r="A421" s="121"/>
      <c r="B421" s="23"/>
      <c r="C421" s="24"/>
      <c r="D421" s="24"/>
      <c r="E421" s="24"/>
      <c r="F421" s="24"/>
      <c r="G421" s="90"/>
      <c r="H421" s="96"/>
      <c r="I421" s="35"/>
      <c r="J421" s="24"/>
      <c r="K421" s="24"/>
      <c r="L421" s="24"/>
      <c r="M421" s="25"/>
      <c r="N421" s="25"/>
    </row>
    <row r="422" spans="1:15" ht="15.95" customHeight="1" x14ac:dyDescent="0.25">
      <c r="A422" s="121"/>
      <c r="B422" s="23"/>
      <c r="C422" s="24"/>
      <c r="D422" s="24"/>
      <c r="E422" s="24"/>
      <c r="F422" s="24"/>
      <c r="G422" s="90"/>
      <c r="H422" s="26"/>
      <c r="I422" s="27"/>
      <c r="J422" s="27"/>
      <c r="K422" s="27"/>
      <c r="L422" s="27"/>
      <c r="M422" s="28"/>
      <c r="N422" s="25"/>
    </row>
    <row r="423" spans="1:15" ht="15.95" customHeight="1" x14ac:dyDescent="0.25">
      <c r="A423" s="121"/>
      <c r="B423" s="26"/>
      <c r="C423" s="27"/>
      <c r="D423" s="27"/>
      <c r="E423" s="27"/>
      <c r="F423" s="27"/>
      <c r="G423" s="91"/>
      <c r="H423" s="27"/>
      <c r="I423" s="27"/>
      <c r="J423" s="27"/>
      <c r="K423" s="27"/>
      <c r="L423" s="27"/>
      <c r="M423" s="27"/>
      <c r="N423" s="28"/>
      <c r="O423" s="194" t="str">
        <f>+D469</f>
        <v>ON Pyme CNV Garantizada</v>
      </c>
    </row>
    <row r="424" spans="1:15" ht="15.95" customHeight="1" x14ac:dyDescent="0.25">
      <c r="A424" s="121"/>
      <c r="B424" s="23"/>
      <c r="C424" s="24"/>
      <c r="D424" s="24"/>
      <c r="E424" s="24"/>
      <c r="F424" s="24"/>
      <c r="G424" s="24"/>
      <c r="H424" s="24"/>
      <c r="I424" s="24"/>
      <c r="J424" s="24"/>
      <c r="K424" s="24"/>
      <c r="L424" s="24"/>
      <c r="M424" s="24"/>
      <c r="N424" s="25"/>
    </row>
    <row r="425" spans="1:15" ht="15.95" customHeight="1" x14ac:dyDescent="0.25">
      <c r="A425" s="122" t="s">
        <v>121</v>
      </c>
      <c r="B425" s="683" t="s">
        <v>66</v>
      </c>
      <c r="C425" s="684"/>
      <c r="D425" s="684"/>
      <c r="E425" s="684"/>
      <c r="F425" s="684"/>
      <c r="G425" s="684"/>
      <c r="H425" s="684"/>
      <c r="I425" s="684"/>
      <c r="J425" s="684"/>
      <c r="K425" s="684"/>
      <c r="L425" s="684"/>
      <c r="M425" s="684"/>
      <c r="N425" s="685"/>
      <c r="O425" s="194" t="str">
        <f>+IF(J504="vencida",IF(D469='Reporte - Oscuro'!$C$40,'Reporte - Oscuro'!$C$40&amp;" vencida",IF(D469='Reporte - Oscuro'!$C$41,'Reporte - Oscuro'!$C$41&amp;" vencida",IF(D469='Reporte - Oscuro'!$C$42,'Reporte - Oscuro'!$C$42&amp;" vencida",'Reporte - Oscuro'!$C$43&amp;" vencida"))),D469&amp;" vigente")</f>
        <v>ON Pyme CNV Garantizada vencida</v>
      </c>
    </row>
    <row r="426" spans="1:15" ht="15.95" customHeight="1" x14ac:dyDescent="0.25">
      <c r="A426" s="121"/>
      <c r="B426" s="23"/>
      <c r="C426" s="24"/>
      <c r="D426" s="24"/>
      <c r="E426" s="24"/>
      <c r="F426" s="31"/>
      <c r="G426" s="87"/>
      <c r="H426" s="31"/>
      <c r="I426" s="31"/>
      <c r="J426" s="24"/>
      <c r="K426" s="24"/>
      <c r="L426" s="24"/>
      <c r="M426" s="24"/>
      <c r="N426" s="25"/>
    </row>
    <row r="427" spans="1:15" ht="15.95" customHeight="1" x14ac:dyDescent="0.25">
      <c r="A427" s="121"/>
      <c r="B427" s="23"/>
      <c r="C427" s="638" t="s">
        <v>37</v>
      </c>
      <c r="D427" s="639"/>
      <c r="E427" s="640"/>
      <c r="F427" s="31"/>
      <c r="G427" s="87"/>
      <c r="H427" s="641" t="s">
        <v>28</v>
      </c>
      <c r="I427" s="642"/>
      <c r="J427" s="39">
        <f>+$D$449-SUMIF($H$433:$H$441,"&lt;"&amp;$M$4,$K$433:$K$441)</f>
        <v>0</v>
      </c>
      <c r="K427" s="24"/>
      <c r="L427" s="24"/>
      <c r="M427" s="24"/>
      <c r="N427" s="25"/>
    </row>
    <row r="428" spans="1:15" ht="15.95" customHeight="1" x14ac:dyDescent="0.25">
      <c r="A428" s="121"/>
      <c r="B428" s="23"/>
      <c r="C428" s="58"/>
      <c r="D428" s="664"/>
      <c r="E428" s="665"/>
      <c r="F428" s="31"/>
      <c r="G428" s="87"/>
      <c r="H428" s="645" t="s">
        <v>29</v>
      </c>
      <c r="I428" s="646"/>
      <c r="J428" s="40">
        <f>+$D$448</f>
        <v>44274</v>
      </c>
      <c r="K428" s="24"/>
      <c r="L428" s="24"/>
      <c r="M428" s="24"/>
      <c r="N428" s="25"/>
    </row>
    <row r="429" spans="1:15" ht="15.95" customHeight="1" x14ac:dyDescent="0.25">
      <c r="A429" s="121"/>
      <c r="B429" s="23"/>
      <c r="C429" s="59" t="s">
        <v>25</v>
      </c>
      <c r="D429" s="681"/>
      <c r="E429" s="682"/>
      <c r="F429" s="31"/>
      <c r="G429" s="87"/>
      <c r="H429" s="649" t="s">
        <v>30</v>
      </c>
      <c r="I429" s="650"/>
      <c r="J429" s="42" t="str">
        <f t="array" ref="J429">+IF(H440&gt;=M4,MIN(IF($H$433:$H$441&gt;$M$4,$H$433:$H$441,"")),"vencida")</f>
        <v>vencida</v>
      </c>
      <c r="K429" s="24"/>
      <c r="L429" s="24"/>
      <c r="M429" s="24"/>
      <c r="N429" s="25"/>
    </row>
    <row r="430" spans="1:15" ht="15.95" customHeight="1" x14ac:dyDescent="0.25">
      <c r="A430" s="121"/>
      <c r="B430" s="23"/>
      <c r="C430" s="59" t="s">
        <v>6</v>
      </c>
      <c r="D430" s="681" t="s">
        <v>67</v>
      </c>
      <c r="E430" s="682"/>
      <c r="F430" s="31"/>
      <c r="G430" s="87"/>
      <c r="H430" s="24"/>
      <c r="I430" s="24"/>
      <c r="J430" s="24"/>
      <c r="K430" s="24"/>
      <c r="L430" s="24"/>
      <c r="M430" s="24"/>
      <c r="N430" s="25"/>
      <c r="O430" s="97">
        <f>+M509</f>
        <v>-300000</v>
      </c>
    </row>
    <row r="431" spans="1:15" ht="15.95" customHeight="1" x14ac:dyDescent="0.25">
      <c r="A431" s="121"/>
      <c r="B431" s="23"/>
      <c r="C431" s="59" t="s">
        <v>8</v>
      </c>
      <c r="D431" s="681" t="s">
        <v>17</v>
      </c>
      <c r="E431" s="682"/>
      <c r="F431" s="31"/>
      <c r="G431" s="87"/>
      <c r="H431" s="651" t="s">
        <v>41</v>
      </c>
      <c r="I431" s="652"/>
      <c r="J431" s="652"/>
      <c r="K431" s="652"/>
      <c r="L431" s="653"/>
      <c r="M431" s="24"/>
      <c r="N431" s="25"/>
      <c r="O431" s="97">
        <f t="shared" ref="O431:O440" si="33">+M510+O430</f>
        <v>-287769.8630136986</v>
      </c>
    </row>
    <row r="432" spans="1:15" ht="15.95" customHeight="1" x14ac:dyDescent="0.25">
      <c r="A432" s="121"/>
      <c r="B432" s="23"/>
      <c r="C432" s="59" t="s">
        <v>33</v>
      </c>
      <c r="D432" s="132" t="s">
        <v>325</v>
      </c>
      <c r="E432" s="274">
        <v>0.3478</v>
      </c>
      <c r="F432" s="281">
        <f>+E432*$J$427</f>
        <v>0</v>
      </c>
      <c r="G432" s="87"/>
      <c r="H432" s="126" t="s">
        <v>0</v>
      </c>
      <c r="I432" s="127" t="s">
        <v>2</v>
      </c>
      <c r="J432" s="127" t="s">
        <v>3</v>
      </c>
      <c r="K432" s="127" t="s">
        <v>4</v>
      </c>
      <c r="L432" s="128" t="s">
        <v>5</v>
      </c>
      <c r="M432" s="127" t="s">
        <v>44</v>
      </c>
      <c r="N432" s="25"/>
      <c r="O432" s="97">
        <f t="shared" si="33"/>
        <v>-276000</v>
      </c>
    </row>
    <row r="433" spans="1:15" ht="15.95" customHeight="1" x14ac:dyDescent="0.25">
      <c r="A433" s="121"/>
      <c r="B433" s="23"/>
      <c r="C433" s="278" t="s">
        <v>33</v>
      </c>
      <c r="D433" s="132" t="s">
        <v>289</v>
      </c>
      <c r="E433" s="274">
        <v>0.3044</v>
      </c>
      <c r="F433" s="281">
        <f>+E433*$J$427</f>
        <v>0</v>
      </c>
      <c r="G433" s="87"/>
      <c r="H433" s="45"/>
      <c r="I433" s="46"/>
      <c r="J433" s="46"/>
      <c r="K433" s="46"/>
      <c r="L433" s="47"/>
      <c r="M433" s="23"/>
      <c r="N433" s="25"/>
      <c r="O433" s="97">
        <f t="shared" si="33"/>
        <v>-263835.61643835617</v>
      </c>
    </row>
    <row r="434" spans="1:15" ht="15.95" customHeight="1" x14ac:dyDescent="0.25">
      <c r="A434" s="121"/>
      <c r="B434" s="23"/>
      <c r="C434" s="59" t="s">
        <v>33</v>
      </c>
      <c r="D434" s="132" t="s">
        <v>308</v>
      </c>
      <c r="E434" s="274">
        <v>0.3478</v>
      </c>
      <c r="F434" s="281">
        <f>+E434*$J$427</f>
        <v>0</v>
      </c>
      <c r="G434" s="87"/>
      <c r="H434" s="48">
        <f>+$D$447</f>
        <v>43178</v>
      </c>
      <c r="I434" s="136"/>
      <c r="J434" s="49"/>
      <c r="K434" s="49"/>
      <c r="L434" s="50">
        <f>+D449</f>
        <v>575000</v>
      </c>
      <c r="M434" s="93">
        <f>-L434</f>
        <v>-575000</v>
      </c>
      <c r="N434" s="25"/>
      <c r="O434" s="97">
        <f t="shared" si="33"/>
        <v>-251868.49315068492</v>
      </c>
    </row>
    <row r="435" spans="1:15" ht="15.95" customHeight="1" x14ac:dyDescent="0.25">
      <c r="A435" s="121"/>
      <c r="B435" s="23"/>
      <c r="C435" s="59" t="s">
        <v>34</v>
      </c>
      <c r="D435" s="681" t="s">
        <v>48</v>
      </c>
      <c r="E435" s="682"/>
      <c r="F435" s="31"/>
      <c r="G435" s="87"/>
      <c r="H435" s="51">
        <f>IF(DAY(H434)=DAY($H$434),IF(WEEKDAY(EDATE(H434,$D$450),3)&lt;5,EDATE(H434,$D$450),WORKDAY(EDATE(H434,$D$450),1)),IF(WEEKDAY(EDATE($H$434,$D$450*COUNT($H$434:H434)),3)&lt;5,EDATE($H$434,$D$450*COUNT($H$434:H434)),WORKDAY(EDATE($H$434,$D$450*COUNT($H$434:H434)),1)))</f>
        <v>43362</v>
      </c>
      <c r="I435" s="137" t="s">
        <v>13</v>
      </c>
      <c r="J435" s="52">
        <f t="shared" ref="J435:J440" si="34">+(($D$452/365)*(H435-H434))*L434</f>
        <v>28986.30136986302</v>
      </c>
      <c r="K435" s="52">
        <f>+IF(OR(I435="A + C",I435="A"),$L$434*$D$453,0)</f>
        <v>57500</v>
      </c>
      <c r="L435" s="53">
        <f t="shared" ref="L435:L440" si="35">+L434-K435</f>
        <v>517500</v>
      </c>
      <c r="M435" s="94">
        <f t="shared" ref="M435:M440" si="36">+J435+K435</f>
        <v>86486.301369863024</v>
      </c>
      <c r="N435" s="25"/>
      <c r="O435" s="97">
        <f t="shared" si="33"/>
        <v>-239835.61643835617</v>
      </c>
    </row>
    <row r="436" spans="1:15" ht="15.95" customHeight="1" x14ac:dyDescent="0.25">
      <c r="A436" s="121"/>
      <c r="B436" s="23"/>
      <c r="C436" s="79" t="s">
        <v>38</v>
      </c>
      <c r="D436" s="130"/>
      <c r="E436" s="131"/>
      <c r="F436" s="34"/>
      <c r="G436" s="88"/>
      <c r="H436" s="51">
        <f>IF(DAY(H435)=DAY($H$434),IF(WEEKDAY(EDATE(H435,$D$450),3)&lt;5,EDATE(H435,$D$450),WORKDAY(EDATE(H435,$D$450),1)),IF(WEEKDAY(EDATE($H$434,$D$450*COUNT($H$434:H435)),3)&lt;5,EDATE($H$434,$D$450*COUNT($H$434:H435)),WORKDAY(EDATE($H$434,$D$450*COUNT($H$434:H435)),1)))</f>
        <v>43543</v>
      </c>
      <c r="I436" s="137" t="s">
        <v>13</v>
      </c>
      <c r="J436" s="52">
        <f t="shared" si="34"/>
        <v>25662.32876712329</v>
      </c>
      <c r="K436" s="52">
        <f>+IF(OR(I436="A + C",I436="A"),$D$449*$D$453,0)</f>
        <v>57500</v>
      </c>
      <c r="L436" s="53">
        <f t="shared" si="35"/>
        <v>460000</v>
      </c>
      <c r="M436" s="94">
        <f t="shared" si="36"/>
        <v>83162.328767123283</v>
      </c>
      <c r="N436" s="25"/>
      <c r="O436" s="97">
        <f t="shared" si="33"/>
        <v>-227934.24657534246</v>
      </c>
    </row>
    <row r="437" spans="1:15" ht="15.95" customHeight="1" x14ac:dyDescent="0.25">
      <c r="A437" s="121"/>
      <c r="B437" s="23"/>
      <c r="C437" s="59"/>
      <c r="D437" s="132"/>
      <c r="E437" s="133"/>
      <c r="F437" s="34"/>
      <c r="G437" s="88"/>
      <c r="H437" s="51">
        <f>IF(DAY(H436)=DAY($H$434),IF(WEEKDAY(EDATE(H436,$D$450),3)&lt;5,EDATE(H436,$D$450),WORKDAY(EDATE(H436,$D$450),1)),IF(WEEKDAY(EDATE($H$434,$D$450*COUNT($H$434:H436)),3)&lt;5,EDATE($H$434,$D$450*COUNT($H$434:H436)),WORKDAY(EDATE($H$434,$D$450*COUNT($H$434:H436)),1)))</f>
        <v>43727</v>
      </c>
      <c r="I437" s="137" t="s">
        <v>13</v>
      </c>
      <c r="J437" s="52">
        <f t="shared" si="34"/>
        <v>23189.041095890414</v>
      </c>
      <c r="K437" s="52">
        <f>+IF(OR(I437="A + C",I437="A"),$D$449*$D$453,0)</f>
        <v>57500</v>
      </c>
      <c r="L437" s="53">
        <f t="shared" si="35"/>
        <v>402500</v>
      </c>
      <c r="M437" s="94">
        <f t="shared" si="36"/>
        <v>80689.04109589041</v>
      </c>
      <c r="N437" s="25"/>
      <c r="O437" s="97">
        <f t="shared" si="33"/>
        <v>-215835.61643835617</v>
      </c>
    </row>
    <row r="438" spans="1:15" ht="15.95" customHeight="1" x14ac:dyDescent="0.25">
      <c r="A438" s="121"/>
      <c r="B438" s="32"/>
      <c r="C438" s="60"/>
      <c r="D438" s="134"/>
      <c r="E438" s="135"/>
      <c r="F438" s="34"/>
      <c r="G438" s="88"/>
      <c r="H438" s="51">
        <f>IF(DAY(H437)=DAY($H$434),IF(WEEKDAY(EDATE(H437,$D$450),3)&lt;5,EDATE(H437,$D$450),WORKDAY(EDATE(H437,$D$450),1)),IF(WEEKDAY(EDATE($H$434,$D$450*COUNT($H$434:H437)),3)&lt;5,EDATE($H$434,$D$450*COUNT($H$434:H437)),WORKDAY(EDATE($H$434,$D$450*COUNT($H$434:H437)),1)))</f>
        <v>43909</v>
      </c>
      <c r="I438" s="137" t="s">
        <v>13</v>
      </c>
      <c r="J438" s="52">
        <f t="shared" si="34"/>
        <v>20069.863013698632</v>
      </c>
      <c r="K438" s="52">
        <f>+IF(OR(I438="A + C",I438="A"),$D$449*$D$453,0)</f>
        <v>57500</v>
      </c>
      <c r="L438" s="53">
        <f t="shared" si="35"/>
        <v>345000</v>
      </c>
      <c r="M438" s="94">
        <f t="shared" si="36"/>
        <v>77569.863013698632</v>
      </c>
      <c r="N438" s="25"/>
      <c r="O438" s="97">
        <f t="shared" si="33"/>
        <v>-53934.246575342462</v>
      </c>
    </row>
    <row r="439" spans="1:15" ht="15.95" customHeight="1" x14ac:dyDescent="0.25">
      <c r="A439" s="121"/>
      <c r="B439" s="23"/>
      <c r="C439" s="60"/>
      <c r="D439" s="275" t="str">
        <f>B425</f>
        <v>Dario y Gustavo Bergamasco I</v>
      </c>
      <c r="E439" s="276"/>
      <c r="F439" s="34"/>
      <c r="G439" s="88">
        <f>J427</f>
        <v>0</v>
      </c>
      <c r="H439" s="51">
        <f>IF(DAY(H438)=DAY($H$434),IF(WEEKDAY(EDATE(H438,$D$450),3)&lt;5,EDATE(H438,$D$450),WORKDAY(EDATE(H438,$D$450),1)),IF(WEEKDAY(EDATE($H$434,$D$450*COUNT($H$434:H438)),3)&lt;5,EDATE($H$434,$D$450*COUNT($H$434:H438)),WORKDAY(EDATE($H$434,$D$450*COUNT($H$434:H438)),1)))</f>
        <v>44095</v>
      </c>
      <c r="I439" s="137" t="s">
        <v>13</v>
      </c>
      <c r="J439" s="52">
        <f t="shared" si="34"/>
        <v>17580.821917808222</v>
      </c>
      <c r="K439" s="52">
        <f>+IF(OR(I439="A + C",I439="A"),$D$449*$D$453,0)</f>
        <v>57500</v>
      </c>
      <c r="L439" s="53">
        <f t="shared" si="35"/>
        <v>287500</v>
      </c>
      <c r="M439" s="94">
        <f t="shared" si="36"/>
        <v>75080.821917808222</v>
      </c>
      <c r="N439" s="25"/>
      <c r="O439" s="97">
        <f t="shared" si="33"/>
        <v>-47884.931506849309</v>
      </c>
    </row>
    <row r="440" spans="1:15" ht="15.95" customHeight="1" x14ac:dyDescent="0.25">
      <c r="A440" s="121"/>
      <c r="B440" s="23"/>
      <c r="D440" s="277"/>
      <c r="E440" s="277"/>
      <c r="F440" s="36"/>
      <c r="G440" s="89"/>
      <c r="H440" s="51">
        <f>IF(DAY(H439)=DAY($H$434),IF(WEEKDAY(EDATE(H439,$D$450),3)&lt;5,EDATE(H439,$D$450),WORKDAY(EDATE(H439,$D$450),1)),IF(WEEKDAY(EDATE($H$434,$D$450*COUNT($H$434:H439)),3)&lt;5,EDATE($H$434,$D$450*COUNT($H$434:H439)),WORKDAY(EDATE($H$434,$D$450*COUNT($H$434:H439)),1)))</f>
        <v>44274</v>
      </c>
      <c r="I440" s="137" t="s">
        <v>13</v>
      </c>
      <c r="J440" s="52">
        <f t="shared" si="34"/>
        <v>14099.315068493153</v>
      </c>
      <c r="K440" s="52">
        <f>+IF(OR(I440="A + C",I440="A"),$D$449*$D$454,0)</f>
        <v>287500</v>
      </c>
      <c r="L440" s="53">
        <f t="shared" si="35"/>
        <v>0</v>
      </c>
      <c r="M440" s="94">
        <f t="shared" si="36"/>
        <v>301599.31506849313</v>
      </c>
      <c r="N440" s="25"/>
      <c r="O440" s="97">
        <f t="shared" si="33"/>
        <v>108065.75342465754</v>
      </c>
    </row>
    <row r="441" spans="1:15" ht="15.95" customHeight="1" x14ac:dyDescent="0.25">
      <c r="A441" s="121"/>
      <c r="B441" s="23"/>
      <c r="C441" s="638" t="s">
        <v>36</v>
      </c>
      <c r="D441" s="640"/>
      <c r="E441" s="36"/>
      <c r="F441" s="36"/>
      <c r="G441" s="89"/>
      <c r="H441" s="54"/>
      <c r="I441" s="144"/>
      <c r="J441" s="55"/>
      <c r="K441" s="56"/>
      <c r="L441" s="57"/>
      <c r="M441" s="95"/>
      <c r="N441" s="25"/>
    </row>
    <row r="442" spans="1:15" ht="15.95" customHeight="1" x14ac:dyDescent="0.25">
      <c r="A442" s="121"/>
      <c r="B442" s="23"/>
      <c r="C442" s="59"/>
      <c r="D442" s="62"/>
      <c r="E442" s="36"/>
      <c r="F442" s="36"/>
      <c r="G442" s="89"/>
      <c r="H442" s="24"/>
      <c r="I442" s="24"/>
      <c r="J442" s="24"/>
      <c r="K442" s="24"/>
      <c r="L442" s="24"/>
      <c r="M442" s="24"/>
      <c r="N442" s="25"/>
    </row>
    <row r="443" spans="1:15" ht="15.95" customHeight="1" x14ac:dyDescent="0.25">
      <c r="A443" s="121"/>
      <c r="B443" s="23"/>
      <c r="C443" s="59" t="s">
        <v>9</v>
      </c>
      <c r="D443" s="129" t="s">
        <v>49</v>
      </c>
      <c r="E443" s="36"/>
      <c r="F443" s="36"/>
      <c r="G443" s="89"/>
      <c r="H443" s="680" t="s">
        <v>43</v>
      </c>
      <c r="I443" s="680"/>
      <c r="J443" s="92">
        <v>0</v>
      </c>
      <c r="K443" s="92"/>
      <c r="L443" s="24"/>
      <c r="M443" s="24"/>
      <c r="N443" s="25"/>
    </row>
    <row r="444" spans="1:15" ht="15.95" customHeight="1" x14ac:dyDescent="0.25">
      <c r="A444" s="121"/>
      <c r="B444" s="23"/>
      <c r="C444" s="59" t="s">
        <v>51</v>
      </c>
      <c r="D444" s="138" t="s">
        <v>18</v>
      </c>
      <c r="E444" s="36"/>
      <c r="F444" s="36"/>
      <c r="G444" s="89"/>
      <c r="H444" s="657"/>
      <c r="I444" s="657"/>
      <c r="J444" s="392"/>
      <c r="K444" s="24"/>
      <c r="L444" s="33"/>
      <c r="M444" s="33"/>
      <c r="N444" s="25"/>
    </row>
    <row r="445" spans="1:15" ht="15.95" customHeight="1" x14ac:dyDescent="0.25">
      <c r="A445" s="121"/>
      <c r="B445" s="23"/>
      <c r="C445" s="59" t="s">
        <v>52</v>
      </c>
      <c r="D445" s="138" t="s">
        <v>18</v>
      </c>
      <c r="E445" s="36"/>
      <c r="F445" s="24"/>
      <c r="G445" s="90"/>
      <c r="H445" s="24"/>
      <c r="I445" s="24"/>
      <c r="J445" s="24"/>
      <c r="K445" s="24"/>
      <c r="L445" s="24"/>
      <c r="M445" s="24"/>
      <c r="N445" s="25"/>
    </row>
    <row r="446" spans="1:15" ht="15.95" customHeight="1" x14ac:dyDescent="0.25">
      <c r="A446" s="121"/>
      <c r="B446" s="23"/>
      <c r="C446" s="59" t="s">
        <v>10</v>
      </c>
      <c r="D446" s="139">
        <v>43173</v>
      </c>
      <c r="E446" s="36"/>
      <c r="F446" s="24"/>
      <c r="G446" s="90"/>
      <c r="H446" s="638" t="s">
        <v>44</v>
      </c>
      <c r="I446" s="639"/>
      <c r="J446" s="639"/>
      <c r="K446" s="639"/>
      <c r="L446" s="639"/>
      <c r="M446" s="640"/>
      <c r="N446" s="25"/>
    </row>
    <row r="447" spans="1:15" ht="15.95" customHeight="1" x14ac:dyDescent="0.25">
      <c r="A447" s="121"/>
      <c r="B447" s="23"/>
      <c r="C447" s="59" t="s">
        <v>11</v>
      </c>
      <c r="D447" s="139">
        <v>43178</v>
      </c>
      <c r="E447" s="41"/>
      <c r="F447" s="24"/>
      <c r="G447" s="90"/>
      <c r="H447" s="23"/>
      <c r="I447" s="24"/>
      <c r="J447" s="24"/>
      <c r="K447" s="24"/>
      <c r="L447" s="24"/>
      <c r="M447" s="25"/>
      <c r="N447" s="25"/>
    </row>
    <row r="448" spans="1:15" ht="15.95" customHeight="1" x14ac:dyDescent="0.25">
      <c r="A448" s="121"/>
      <c r="B448" s="23"/>
      <c r="C448" s="59" t="s">
        <v>12</v>
      </c>
      <c r="D448" s="139">
        <v>44274</v>
      </c>
      <c r="E448" s="36"/>
      <c r="F448" s="24"/>
      <c r="G448" s="90"/>
      <c r="H448" s="23"/>
      <c r="I448" s="24"/>
      <c r="J448" s="24"/>
      <c r="K448" s="24"/>
      <c r="L448" s="24"/>
      <c r="M448" s="25"/>
      <c r="N448" s="25"/>
    </row>
    <row r="449" spans="1:15" ht="15.95" customHeight="1" x14ac:dyDescent="0.25">
      <c r="A449" s="121"/>
      <c r="B449" s="23"/>
      <c r="C449" s="59" t="s">
        <v>27</v>
      </c>
      <c r="D449" s="140">
        <v>575000</v>
      </c>
      <c r="E449" s="43"/>
      <c r="F449" s="24"/>
      <c r="G449" s="90"/>
      <c r="H449" s="96"/>
      <c r="I449" s="35"/>
      <c r="J449" s="24"/>
      <c r="K449" s="24"/>
      <c r="L449" s="24"/>
      <c r="M449" s="25"/>
      <c r="N449" s="25"/>
    </row>
    <row r="450" spans="1:15" ht="15.95" customHeight="1" x14ac:dyDescent="0.25">
      <c r="A450" s="121"/>
      <c r="B450" s="23"/>
      <c r="C450" s="59" t="s">
        <v>26</v>
      </c>
      <c r="D450" s="140">
        <v>6</v>
      </c>
      <c r="E450" s="43"/>
      <c r="F450" s="24"/>
      <c r="G450" s="90"/>
      <c r="H450" s="23"/>
      <c r="I450" s="24"/>
      <c r="J450" s="24"/>
      <c r="K450" s="24"/>
      <c r="L450" s="24"/>
      <c r="M450" s="25"/>
      <c r="N450" s="25"/>
    </row>
    <row r="451" spans="1:15" ht="15.95" customHeight="1" x14ac:dyDescent="0.25">
      <c r="A451" s="121"/>
      <c r="B451" s="23"/>
      <c r="C451" s="59" t="s">
        <v>19</v>
      </c>
      <c r="D451" s="141" t="s">
        <v>50</v>
      </c>
      <c r="E451" s="43"/>
      <c r="F451" s="24"/>
      <c r="G451" s="90"/>
      <c r="H451" s="23"/>
      <c r="I451" s="24"/>
      <c r="J451" s="24"/>
      <c r="K451" s="24"/>
      <c r="L451" s="24"/>
      <c r="M451" s="25"/>
      <c r="N451" s="25"/>
    </row>
    <row r="452" spans="1:15" ht="15.95" customHeight="1" x14ac:dyDescent="0.25">
      <c r="A452" s="121"/>
      <c r="B452" s="23"/>
      <c r="C452" s="59" t="s">
        <v>14</v>
      </c>
      <c r="D452" s="142">
        <v>0.1</v>
      </c>
      <c r="E452" s="44"/>
      <c r="F452" s="24"/>
      <c r="G452" s="90"/>
      <c r="H452" s="23"/>
      <c r="I452" s="24"/>
      <c r="J452" s="24"/>
      <c r="K452" s="24"/>
      <c r="L452" s="24"/>
      <c r="M452" s="25"/>
      <c r="N452" s="25"/>
    </row>
    <row r="453" spans="1:15" ht="15.95" customHeight="1" x14ac:dyDescent="0.25">
      <c r="A453" s="121"/>
      <c r="B453" s="23"/>
      <c r="C453" s="59" t="s">
        <v>42</v>
      </c>
      <c r="D453" s="143">
        <v>0.1</v>
      </c>
      <c r="E453" s="24"/>
      <c r="F453" s="24"/>
      <c r="G453" s="90"/>
      <c r="H453" s="23"/>
      <c r="I453" s="24"/>
      <c r="J453" s="24"/>
      <c r="K453" s="24"/>
      <c r="L453" s="24"/>
      <c r="M453" s="25"/>
      <c r="N453" s="25"/>
    </row>
    <row r="454" spans="1:15" ht="15.95" customHeight="1" x14ac:dyDescent="0.25">
      <c r="A454" s="121"/>
      <c r="B454" s="23"/>
      <c r="C454" s="59" t="s">
        <v>55</v>
      </c>
      <c r="D454" s="143">
        <v>0.5</v>
      </c>
      <c r="E454" s="24"/>
      <c r="F454" s="24"/>
      <c r="G454" s="90"/>
      <c r="H454" s="23"/>
      <c r="I454" s="24"/>
      <c r="J454" s="24"/>
      <c r="K454" s="24"/>
      <c r="L454" s="24"/>
      <c r="M454" s="25"/>
      <c r="N454" s="25"/>
    </row>
    <row r="455" spans="1:15" ht="15.95" customHeight="1" x14ac:dyDescent="0.25">
      <c r="A455" s="121"/>
      <c r="B455" s="23"/>
      <c r="C455" s="63"/>
      <c r="D455" s="145"/>
      <c r="E455" s="24"/>
      <c r="F455" s="24"/>
      <c r="G455" s="90"/>
      <c r="H455" s="23"/>
      <c r="I455" s="24"/>
      <c r="J455" s="24"/>
      <c r="K455" s="24"/>
      <c r="L455" s="24"/>
      <c r="M455" s="25"/>
      <c r="N455" s="25"/>
    </row>
    <row r="456" spans="1:15" ht="15.95" customHeight="1" x14ac:dyDescent="0.25">
      <c r="A456" s="121"/>
      <c r="B456" s="23"/>
      <c r="C456" s="24"/>
      <c r="D456" s="24"/>
      <c r="E456" s="24"/>
      <c r="F456" s="24"/>
      <c r="G456" s="90"/>
      <c r="H456" s="23"/>
      <c r="I456" s="24"/>
      <c r="J456" s="24"/>
      <c r="K456" s="24"/>
      <c r="L456" s="24"/>
      <c r="M456" s="25"/>
      <c r="N456" s="25"/>
    </row>
    <row r="457" spans="1:15" ht="15.95" customHeight="1" x14ac:dyDescent="0.25">
      <c r="A457" s="121"/>
      <c r="B457" s="23"/>
      <c r="C457" s="24"/>
      <c r="D457" s="24"/>
      <c r="E457" s="24"/>
      <c r="F457" s="24"/>
      <c r="G457" s="90"/>
      <c r="H457" s="23"/>
      <c r="I457" s="24"/>
      <c r="J457" s="24"/>
      <c r="K457" s="24"/>
      <c r="L457" s="24"/>
      <c r="M457" s="25"/>
      <c r="N457" s="25"/>
    </row>
    <row r="458" spans="1:15" ht="15.95" customHeight="1" x14ac:dyDescent="0.25">
      <c r="A458" s="121"/>
      <c r="B458" s="23"/>
      <c r="C458" s="24"/>
      <c r="D458" s="24"/>
      <c r="E458" s="24"/>
      <c r="F458" s="24"/>
      <c r="G458" s="90"/>
      <c r="H458" s="26"/>
      <c r="I458" s="27"/>
      <c r="J458" s="27"/>
      <c r="K458" s="27"/>
      <c r="L458" s="27"/>
      <c r="M458" s="28"/>
      <c r="N458" s="25"/>
    </row>
    <row r="459" spans="1:15" ht="15.95" customHeight="1" x14ac:dyDescent="0.25">
      <c r="A459" s="121"/>
      <c r="B459" s="26"/>
      <c r="C459" s="85"/>
      <c r="D459" s="27"/>
      <c r="E459" s="27"/>
      <c r="F459" s="27"/>
      <c r="G459" s="91"/>
      <c r="H459" s="27"/>
      <c r="I459" s="27"/>
      <c r="J459" s="27"/>
      <c r="K459" s="27"/>
      <c r="L459" s="27"/>
      <c r="M459" s="27"/>
      <c r="N459" s="28"/>
    </row>
    <row r="460" spans="1:15" ht="15.95" customHeight="1" x14ac:dyDescent="0.25">
      <c r="A460" s="121"/>
      <c r="B460" s="23"/>
      <c r="C460" s="24"/>
      <c r="D460" s="24"/>
      <c r="E460" s="24"/>
      <c r="F460" s="24"/>
      <c r="G460" s="24"/>
      <c r="H460" s="24"/>
      <c r="I460" s="24"/>
      <c r="J460" s="24"/>
      <c r="K460" s="24"/>
      <c r="L460" s="24"/>
      <c r="M460" s="24"/>
      <c r="N460" s="25"/>
    </row>
    <row r="461" spans="1:15" ht="20.100000000000001" customHeight="1" x14ac:dyDescent="0.25">
      <c r="A461" s="121"/>
      <c r="B461" s="683" t="s">
        <v>421</v>
      </c>
      <c r="C461" s="684"/>
      <c r="D461" s="684"/>
      <c r="E461" s="684"/>
      <c r="F461" s="684"/>
      <c r="G461" s="684"/>
      <c r="H461" s="684"/>
      <c r="I461" s="684"/>
      <c r="J461" s="684"/>
      <c r="K461" s="684"/>
      <c r="L461" s="684"/>
      <c r="M461" s="684"/>
      <c r="N461" s="685"/>
    </row>
    <row r="462" spans="1:15" ht="15.95" customHeight="1" x14ac:dyDescent="0.25">
      <c r="A462" s="121"/>
      <c r="B462" s="23"/>
      <c r="C462" s="24"/>
      <c r="D462" s="24"/>
      <c r="E462" s="24"/>
      <c r="F462" s="31"/>
      <c r="G462" s="87"/>
      <c r="H462" s="31"/>
      <c r="I462" s="31"/>
      <c r="J462" s="24"/>
      <c r="K462" s="24"/>
      <c r="L462" s="24"/>
      <c r="M462" s="24"/>
      <c r="N462" s="25"/>
    </row>
    <row r="463" spans="1:15" ht="15.95" customHeight="1" x14ac:dyDescent="0.25">
      <c r="A463" s="121"/>
      <c r="B463" s="23"/>
      <c r="C463" s="693" t="s">
        <v>233</v>
      </c>
      <c r="D463" s="694"/>
      <c r="E463" s="695"/>
      <c r="F463" s="31"/>
      <c r="G463" s="87"/>
      <c r="H463" s="31"/>
      <c r="I463" s="31"/>
      <c r="J463" s="24"/>
      <c r="K463" s="24"/>
      <c r="L463" s="24"/>
      <c r="M463" s="24"/>
      <c r="N463" s="25"/>
      <c r="O463" s="194" t="str">
        <f>+D546</f>
        <v>ON Pyme CNV Garantizada</v>
      </c>
    </row>
    <row r="464" spans="1:15" ht="15.95" customHeight="1" x14ac:dyDescent="0.25">
      <c r="A464" s="121"/>
      <c r="B464" s="23"/>
      <c r="C464" s="24"/>
      <c r="D464" s="24"/>
      <c r="E464" s="24"/>
      <c r="F464" s="31"/>
      <c r="G464" s="87"/>
      <c r="H464" s="31"/>
      <c r="I464" s="31"/>
      <c r="J464" s="24"/>
      <c r="K464" s="24"/>
      <c r="L464" s="24"/>
      <c r="M464" s="24"/>
      <c r="N464" s="25"/>
    </row>
    <row r="465" spans="1:15" ht="15.95" customHeight="1" x14ac:dyDescent="0.25">
      <c r="A465" s="121"/>
      <c r="B465" s="23"/>
      <c r="C465" s="638" t="s">
        <v>37</v>
      </c>
      <c r="D465" s="639"/>
      <c r="E465" s="640"/>
      <c r="F465" s="31"/>
      <c r="G465" s="87"/>
      <c r="H465" s="641" t="s">
        <v>28</v>
      </c>
      <c r="I465" s="642"/>
      <c r="J465" s="39">
        <f>+$D$485-SUMIF($H$471:$H$479,"&lt;"&amp;$M$4,$K$471:$K$479)</f>
        <v>0</v>
      </c>
      <c r="K465" s="24"/>
      <c r="L465" s="24"/>
      <c r="M465" s="24"/>
      <c r="N465" s="25"/>
      <c r="O465" s="194" t="str">
        <f>+IF(J544="vencida",IF(D546='Reporte - Oscuro'!$C$40,'Reporte - Oscuro'!$C$40&amp;" vencida",IF(D546='Reporte - Oscuro'!$C$41,'Reporte - Oscuro'!$C$41&amp;" vencida",IF(D546='Reporte - Oscuro'!$C$42,'Reporte - Oscuro'!$C$42&amp;" vencida",'Reporte - Oscuro'!$C$43&amp;" vencida"))),D546&amp;" vigente")</f>
        <v>ON Pyme CNV Garantizada vencida</v>
      </c>
    </row>
    <row r="466" spans="1:15" ht="15.95" customHeight="1" x14ac:dyDescent="0.25">
      <c r="A466" s="121"/>
      <c r="B466" s="23"/>
      <c r="C466" s="58"/>
      <c r="D466" s="664"/>
      <c r="E466" s="665"/>
      <c r="F466" s="31"/>
      <c r="G466" s="87"/>
      <c r="H466" s="645" t="s">
        <v>29</v>
      </c>
      <c r="I466" s="646"/>
      <c r="J466" s="40">
        <f>+$D$484</f>
        <v>44319</v>
      </c>
      <c r="K466" s="24"/>
      <c r="L466" s="24"/>
      <c r="M466" s="24"/>
      <c r="N466" s="25"/>
    </row>
    <row r="467" spans="1:15" ht="15.95" customHeight="1" x14ac:dyDescent="0.25">
      <c r="A467" s="121"/>
      <c r="B467" s="23"/>
      <c r="C467" s="59" t="s">
        <v>25</v>
      </c>
      <c r="D467" s="681"/>
      <c r="E467" s="682"/>
      <c r="F467" s="31"/>
      <c r="G467" s="87"/>
      <c r="H467" s="649" t="s">
        <v>30</v>
      </c>
      <c r="I467" s="650"/>
      <c r="J467" s="42" t="str">
        <f t="array" ref="J467">+IF(H478&gt;=M4,MIN(IF($H$471:$H$479&gt;$M$4,$H$471:$H$479,"")),"vencida")</f>
        <v>vencida</v>
      </c>
      <c r="K467" s="24"/>
      <c r="L467" s="24"/>
      <c r="M467" s="24"/>
      <c r="N467" s="25"/>
    </row>
    <row r="468" spans="1:15" ht="15.95" customHeight="1" x14ac:dyDescent="0.25">
      <c r="A468" s="121"/>
      <c r="B468" s="23"/>
      <c r="C468" s="59" t="s">
        <v>6</v>
      </c>
      <c r="D468" s="681" t="s">
        <v>146</v>
      </c>
      <c r="E468" s="682"/>
      <c r="F468" s="31"/>
      <c r="G468" s="87"/>
      <c r="H468" s="24"/>
      <c r="I468" s="24"/>
      <c r="J468" s="24"/>
      <c r="K468" s="24"/>
      <c r="L468" s="24"/>
      <c r="M468" s="24"/>
      <c r="N468" s="25"/>
    </row>
    <row r="469" spans="1:15" ht="15.95" customHeight="1" x14ac:dyDescent="0.25">
      <c r="A469" s="121"/>
      <c r="B469" s="23"/>
      <c r="C469" s="59" t="s">
        <v>8</v>
      </c>
      <c r="D469" s="681" t="s">
        <v>17</v>
      </c>
      <c r="E469" s="682"/>
      <c r="F469" s="31"/>
      <c r="G469" s="87"/>
      <c r="H469" s="677" t="s">
        <v>41</v>
      </c>
      <c r="I469" s="678"/>
      <c r="J469" s="678"/>
      <c r="K469" s="678"/>
      <c r="L469" s="679"/>
      <c r="M469" s="24"/>
      <c r="N469" s="25"/>
    </row>
    <row r="470" spans="1:15" ht="15.95" customHeight="1" x14ac:dyDescent="0.25">
      <c r="A470" s="121"/>
      <c r="B470" s="23"/>
      <c r="C470" s="59" t="s">
        <v>33</v>
      </c>
      <c r="D470" s="132" t="s">
        <v>325</v>
      </c>
      <c r="E470" s="274">
        <v>1</v>
      </c>
      <c r="F470" s="281">
        <f>+E470*(J465)</f>
        <v>0</v>
      </c>
      <c r="G470" s="87"/>
      <c r="H470" s="146" t="s">
        <v>0</v>
      </c>
      <c r="I470" s="147" t="s">
        <v>2</v>
      </c>
      <c r="J470" s="147" t="s">
        <v>3</v>
      </c>
      <c r="K470" s="147" t="s">
        <v>4</v>
      </c>
      <c r="L470" s="148" t="s">
        <v>5</v>
      </c>
      <c r="M470" s="148" t="s">
        <v>44</v>
      </c>
      <c r="N470" s="25"/>
      <c r="O470" s="97">
        <f>+M549</f>
        <v>-550000</v>
      </c>
    </row>
    <row r="471" spans="1:15" ht="15.95" customHeight="1" x14ac:dyDescent="0.25">
      <c r="A471" s="121"/>
      <c r="B471" s="23"/>
      <c r="C471" s="59" t="s">
        <v>34</v>
      </c>
      <c r="D471" s="681" t="s">
        <v>94</v>
      </c>
      <c r="E471" s="682"/>
      <c r="F471" s="31"/>
      <c r="G471" s="87"/>
      <c r="H471" s="45"/>
      <c r="I471" s="46"/>
      <c r="J471" s="46"/>
      <c r="K471" s="46"/>
      <c r="L471" s="47"/>
      <c r="M471" s="101"/>
      <c r="N471" s="25"/>
      <c r="O471" s="97">
        <f t="shared" ref="O471:O476" si="37">+M550+O470</f>
        <v>-530528.49315068498</v>
      </c>
    </row>
    <row r="472" spans="1:15" ht="15.95" customHeight="1" x14ac:dyDescent="0.25">
      <c r="A472" s="121"/>
      <c r="B472" s="23"/>
      <c r="C472" s="79" t="s">
        <v>38</v>
      </c>
      <c r="D472" s="130"/>
      <c r="E472" s="131"/>
      <c r="F472" s="31"/>
      <c r="G472" s="87"/>
      <c r="H472" s="48">
        <f>+$D$483</f>
        <v>43223</v>
      </c>
      <c r="I472" s="136"/>
      <c r="J472" s="49"/>
      <c r="K472" s="49"/>
      <c r="L472" s="50">
        <f>+D485</f>
        <v>700000</v>
      </c>
      <c r="M472" s="102">
        <f>-L472</f>
        <v>-700000</v>
      </c>
      <c r="N472" s="25"/>
      <c r="O472" s="97">
        <f t="shared" si="37"/>
        <v>-510950.00000000006</v>
      </c>
    </row>
    <row r="473" spans="1:15" ht="15.95" customHeight="1" x14ac:dyDescent="0.25">
      <c r="A473" s="121"/>
      <c r="B473" s="23"/>
      <c r="C473" s="59"/>
      <c r="D473" s="132"/>
      <c r="E473" s="133"/>
      <c r="F473" s="31"/>
      <c r="G473" s="87"/>
      <c r="H473" s="51">
        <f>IF(DAY(H472)=DAY($H$472),IF(WEEKDAY(EDATE(H472,$D$486),3)&lt;5,EDATE(H472,$D$486),WORKDAY(EDATE(H472,$D$486),1)),IF(WEEKDAY(EDATE($H$472,$D$486*COUNT($H$472:H472)),3)&lt;5,EDATE($H$472,$D$486*COUNT($H$472:H472)),WORKDAY(EDATE($H$472,$D$486*COUNT($H$472:H472)),1)))</f>
        <v>43409</v>
      </c>
      <c r="I473" s="137" t="s">
        <v>7</v>
      </c>
      <c r="J473" s="52">
        <f t="shared" ref="J473:J478" si="38">+(($D$488/365)*(H473-H472))*L472</f>
        <v>26753.424657534248</v>
      </c>
      <c r="K473" s="52">
        <f>+IF(OR(I473="A + C",I473="A"),$L$472*$D$489,0)</f>
        <v>0</v>
      </c>
      <c r="L473" s="53">
        <f t="shared" ref="L473:L478" si="39">+L472-K473</f>
        <v>700000</v>
      </c>
      <c r="M473" s="103">
        <f t="shared" ref="M473:M478" si="40">+J473+K473</f>
        <v>26753.424657534248</v>
      </c>
      <c r="N473" s="25"/>
      <c r="O473" s="97">
        <f t="shared" si="37"/>
        <v>-381585.47945205483</v>
      </c>
    </row>
    <row r="474" spans="1:15" ht="15.95" customHeight="1" x14ac:dyDescent="0.25">
      <c r="A474" s="121"/>
      <c r="B474" s="23"/>
      <c r="C474" s="60"/>
      <c r="D474" s="134"/>
      <c r="E474" s="135"/>
      <c r="F474" s="34"/>
      <c r="G474" s="88"/>
      <c r="H474" s="51">
        <f>IF(DAY(H473)=DAY($H$472),IF(WEEKDAY(EDATE(H473,$D$486),3)&lt;5,EDATE(H473,$D$486),WORKDAY(EDATE(H473,$D$486),1)),IF(WEEKDAY(EDATE($H$472,$D$486*COUNT($H$472:H473)),3)&lt;5,EDATE($H$472,$D$486*COUNT($H$472:H473)),WORKDAY(EDATE($H$472,$D$486*COUNT($H$472:H473)),1)))</f>
        <v>43588</v>
      </c>
      <c r="I474" s="137" t="s">
        <v>13</v>
      </c>
      <c r="J474" s="52">
        <f t="shared" si="38"/>
        <v>25746.575342465752</v>
      </c>
      <c r="K474" s="52">
        <f>+IF(OR(I474="A + C",I474="A"),$D$485*$D$489,0)</f>
        <v>233333.33333333337</v>
      </c>
      <c r="L474" s="53">
        <f t="shared" si="39"/>
        <v>466666.66666666663</v>
      </c>
      <c r="M474" s="103">
        <f t="shared" si="40"/>
        <v>259079.90867579912</v>
      </c>
      <c r="N474" s="25"/>
      <c r="O474" s="97">
        <f t="shared" si="37"/>
        <v>-255837.095890411</v>
      </c>
    </row>
    <row r="475" spans="1:15" ht="15.95" customHeight="1" x14ac:dyDescent="0.25">
      <c r="A475" s="121"/>
      <c r="B475" s="23"/>
      <c r="C475" s="60"/>
      <c r="D475" s="55" t="str">
        <f>B461</f>
        <v>Del Fabro Hnos y Cía I Clase A</v>
      </c>
      <c r="E475" s="64"/>
      <c r="F475" s="34"/>
      <c r="G475" s="88">
        <f>J465</f>
        <v>0</v>
      </c>
      <c r="H475" s="51">
        <f>IF(DAY(H474)=DAY($H$472),IF(WEEKDAY(EDATE(H474,$D$486),3)&lt;5,EDATE(H474,$D$486),WORKDAY(EDATE(H474,$D$486),1)),IF(WEEKDAY(EDATE($H$472,$D$486*COUNT($H$472:H474)),3)&lt;5,EDATE($H$472,$D$486*COUNT($H$472:H474)),WORKDAY(EDATE($H$472,$D$486*COUNT($H$472:H474)),1)))</f>
        <v>43773</v>
      </c>
      <c r="I475" s="137" t="s">
        <v>7</v>
      </c>
      <c r="J475" s="52">
        <f t="shared" si="38"/>
        <v>17739.726027397257</v>
      </c>
      <c r="K475" s="52">
        <f>+IF(OR(I475="A + C",I475="A"),$D$485*$D$489,0)</f>
        <v>0</v>
      </c>
      <c r="L475" s="53">
        <f t="shared" si="39"/>
        <v>466666.66666666663</v>
      </c>
      <c r="M475" s="103">
        <f t="shared" si="40"/>
        <v>17739.726027397257</v>
      </c>
      <c r="N475" s="25"/>
      <c r="O475" s="97">
        <f t="shared" si="37"/>
        <v>-79154.191780821973</v>
      </c>
    </row>
    <row r="476" spans="1:15" ht="15.95" customHeight="1" x14ac:dyDescent="0.25">
      <c r="A476" s="121"/>
      <c r="B476" s="32"/>
      <c r="D476" s="644"/>
      <c r="E476" s="660"/>
      <c r="F476" s="34"/>
      <c r="G476" s="88"/>
      <c r="H476" s="51">
        <f>IF(DAY(H475)=DAY($H$472),IF(WEEKDAY(EDATE(H475,$D$486),3)&lt;5,EDATE(H475,$D$486),WORKDAY(EDATE(H475,$D$486),1)),IF(WEEKDAY(EDATE($H$472,$D$486*COUNT($H$472:H475)),3)&lt;5,EDATE($H$472,$D$486*COUNT($H$472:H475)),WORKDAY(EDATE($H$472,$D$486*COUNT($H$472:H475)),1)))</f>
        <v>43955</v>
      </c>
      <c r="I476" s="137" t="s">
        <v>13</v>
      </c>
      <c r="J476" s="52">
        <f t="shared" si="38"/>
        <v>17452.054794520547</v>
      </c>
      <c r="K476" s="52">
        <f>+IF(OR(I476="A + C",I476="A"),$D$485*$D$489,0)</f>
        <v>233333.33333333337</v>
      </c>
      <c r="L476" s="53">
        <f t="shared" si="39"/>
        <v>233333.33333333326</v>
      </c>
      <c r="M476" s="103">
        <f t="shared" si="40"/>
        <v>250785.38812785392</v>
      </c>
      <c r="N476" s="25"/>
      <c r="O476" s="97">
        <f t="shared" si="37"/>
        <v>91751.45205479447</v>
      </c>
    </row>
    <row r="477" spans="1:15" ht="15.95" customHeight="1" x14ac:dyDescent="0.25">
      <c r="A477" s="121"/>
      <c r="B477" s="23"/>
      <c r="C477" s="638" t="s">
        <v>36</v>
      </c>
      <c r="D477" s="640"/>
      <c r="E477" s="36"/>
      <c r="F477" s="34"/>
      <c r="G477" s="88"/>
      <c r="H477" s="51">
        <f>IF(DAY(H476)=DAY($H$472),IF(WEEKDAY(EDATE(H476,$D$486),3)&lt;5,EDATE(H476,$D$486),WORKDAY(EDATE(H476,$D$486),1)),IF(WEEKDAY(EDATE($H$472,$D$486*COUNT($H$472:H476)),3)&lt;5,EDATE($H$472,$D$486*COUNT($H$472:H476)),WORKDAY(EDATE($H$472,$D$486*COUNT($H$472:H476)),1)))</f>
        <v>44138</v>
      </c>
      <c r="I477" s="137" t="s">
        <v>7</v>
      </c>
      <c r="J477" s="52">
        <f t="shared" si="38"/>
        <v>8773.9726027397228</v>
      </c>
      <c r="K477" s="52">
        <f>+IF(OR(I477="A + C",I477="A"),$D$485*$D$489,0)</f>
        <v>0</v>
      </c>
      <c r="L477" s="53">
        <f t="shared" si="39"/>
        <v>233333.33333333326</v>
      </c>
      <c r="M477" s="103">
        <f t="shared" si="40"/>
        <v>8773.9726027397228</v>
      </c>
      <c r="N477" s="25"/>
      <c r="O477" s="97"/>
    </row>
    <row r="478" spans="1:15" ht="15.95" customHeight="1" x14ac:dyDescent="0.25">
      <c r="A478" s="121"/>
      <c r="B478" s="23"/>
      <c r="C478" s="59"/>
      <c r="D478" s="62"/>
      <c r="E478" s="36"/>
      <c r="F478" s="36"/>
      <c r="G478" s="89"/>
      <c r="H478" s="51">
        <f>IF(DAY(H477)=DAY($H$472),IF(WEEKDAY(EDATE(H477,$D$486),3)&lt;5,EDATE(H477,$D$486),WORKDAY(EDATE(H477,$D$486),1)),IF(WEEKDAY(EDATE($H$472,$D$486*COUNT($H$472:H477)),3)&lt;5,EDATE($H$472,$D$486*COUNT($H$472:H477)),WORKDAY(EDATE($H$472,$D$486*COUNT($H$472:H477)),1)))</f>
        <v>44319</v>
      </c>
      <c r="I478" s="137" t="s">
        <v>13</v>
      </c>
      <c r="J478" s="52">
        <f t="shared" si="38"/>
        <v>8678.0821917808189</v>
      </c>
      <c r="K478" s="52">
        <f>+IF(OR(I478="A + C",I478="A"),$D$485*$D$489,0)</f>
        <v>233333.33333333337</v>
      </c>
      <c r="L478" s="53">
        <f t="shared" si="39"/>
        <v>0</v>
      </c>
      <c r="M478" s="103">
        <f t="shared" si="40"/>
        <v>242011.41552511419</v>
      </c>
      <c r="N478" s="25"/>
      <c r="O478" s="97"/>
    </row>
    <row r="479" spans="1:15" ht="15.95" customHeight="1" x14ac:dyDescent="0.25">
      <c r="A479" s="121"/>
      <c r="B479" s="23"/>
      <c r="C479" s="59" t="s">
        <v>9</v>
      </c>
      <c r="D479" s="129" t="s">
        <v>49</v>
      </c>
      <c r="E479" s="36"/>
      <c r="F479" s="36"/>
      <c r="G479" s="89"/>
      <c r="H479" s="54"/>
      <c r="I479" s="144"/>
      <c r="J479" s="55"/>
      <c r="K479" s="56"/>
      <c r="L479" s="57"/>
      <c r="M479" s="108"/>
      <c r="N479" s="25"/>
      <c r="O479" s="97"/>
    </row>
    <row r="480" spans="1:15" ht="15.95" customHeight="1" x14ac:dyDescent="0.25">
      <c r="A480" s="121"/>
      <c r="B480" s="23"/>
      <c r="C480" s="59" t="s">
        <v>51</v>
      </c>
      <c r="D480" s="138" t="s">
        <v>18</v>
      </c>
      <c r="E480" s="36"/>
      <c r="F480" s="36"/>
      <c r="G480" s="89"/>
      <c r="H480" s="24"/>
      <c r="I480" s="24"/>
      <c r="J480" s="24"/>
      <c r="K480" s="24"/>
      <c r="L480" s="24"/>
      <c r="M480" s="24"/>
      <c r="N480" s="25"/>
      <c r="O480" s="97"/>
    </row>
    <row r="481" spans="1:14" ht="15.95" customHeight="1" x14ac:dyDescent="0.25">
      <c r="A481" s="121"/>
      <c r="B481" s="23"/>
      <c r="C481" s="59" t="s">
        <v>52</v>
      </c>
      <c r="D481" s="138" t="s">
        <v>18</v>
      </c>
      <c r="E481" s="36"/>
      <c r="F481" s="36"/>
      <c r="G481" s="89"/>
      <c r="H481" s="680" t="s">
        <v>43</v>
      </c>
      <c r="I481" s="680"/>
      <c r="J481" s="92">
        <v>0</v>
      </c>
      <c r="K481" s="92"/>
      <c r="L481" s="24"/>
      <c r="M481" s="24"/>
      <c r="N481" s="25"/>
    </row>
    <row r="482" spans="1:14" ht="15.95" customHeight="1" x14ac:dyDescent="0.25">
      <c r="A482" s="121"/>
      <c r="B482" s="23"/>
      <c r="C482" s="59" t="s">
        <v>10</v>
      </c>
      <c r="D482" s="139">
        <v>43216</v>
      </c>
      <c r="E482" s="36"/>
      <c r="F482" s="36"/>
      <c r="G482" s="89"/>
      <c r="H482" s="657"/>
      <c r="I482" s="657"/>
      <c r="J482" s="392"/>
      <c r="K482" s="24"/>
      <c r="L482" s="33"/>
      <c r="M482" s="33"/>
      <c r="N482" s="25"/>
    </row>
    <row r="483" spans="1:14" ht="15.95" customHeight="1" x14ac:dyDescent="0.25">
      <c r="A483" s="121"/>
      <c r="B483" s="23"/>
      <c r="C483" s="59" t="s">
        <v>11</v>
      </c>
      <c r="D483" s="139">
        <v>43223</v>
      </c>
      <c r="E483" s="41"/>
      <c r="F483" s="24"/>
      <c r="G483" s="90"/>
      <c r="H483" s="24"/>
      <c r="I483" s="24"/>
      <c r="J483" s="24"/>
      <c r="K483" s="24"/>
      <c r="L483" s="24"/>
      <c r="M483" s="24"/>
      <c r="N483" s="25"/>
    </row>
    <row r="484" spans="1:14" ht="15.95" customHeight="1" x14ac:dyDescent="0.25">
      <c r="A484" s="121"/>
      <c r="B484" s="23"/>
      <c r="C484" s="59" t="s">
        <v>12</v>
      </c>
      <c r="D484" s="139">
        <v>44319</v>
      </c>
      <c r="E484" s="36"/>
      <c r="F484" s="24"/>
      <c r="G484" s="90"/>
      <c r="H484" s="638" t="s">
        <v>44</v>
      </c>
      <c r="I484" s="639"/>
      <c r="J484" s="639"/>
      <c r="K484" s="639"/>
      <c r="L484" s="639"/>
      <c r="M484" s="640"/>
      <c r="N484" s="25"/>
    </row>
    <row r="485" spans="1:14" ht="15.95" customHeight="1" x14ac:dyDescent="0.25">
      <c r="A485" s="121"/>
      <c r="B485" s="23"/>
      <c r="C485" s="59" t="s">
        <v>27</v>
      </c>
      <c r="D485" s="140">
        <v>700000</v>
      </c>
      <c r="E485" s="43"/>
      <c r="F485" s="24"/>
      <c r="G485" s="90"/>
      <c r="H485" s="23"/>
      <c r="I485" s="24"/>
      <c r="J485" s="24"/>
      <c r="K485" s="24"/>
      <c r="L485" s="24"/>
      <c r="M485" s="25"/>
      <c r="N485" s="25"/>
    </row>
    <row r="486" spans="1:14" ht="15.95" customHeight="1" x14ac:dyDescent="0.25">
      <c r="A486" s="121"/>
      <c r="B486" s="23"/>
      <c r="C486" s="59" t="s">
        <v>26</v>
      </c>
      <c r="D486" s="140">
        <v>6</v>
      </c>
      <c r="E486" s="43"/>
      <c r="F486" s="24"/>
      <c r="G486" s="90"/>
      <c r="H486" s="23"/>
      <c r="I486" s="24"/>
      <c r="J486" s="24"/>
      <c r="K486" s="24"/>
      <c r="L486" s="24"/>
      <c r="M486" s="25"/>
      <c r="N486" s="25"/>
    </row>
    <row r="487" spans="1:14" ht="15.95" customHeight="1" x14ac:dyDescent="0.25">
      <c r="A487" s="121"/>
      <c r="B487" s="23"/>
      <c r="C487" s="59" t="s">
        <v>19</v>
      </c>
      <c r="D487" s="141" t="s">
        <v>50</v>
      </c>
      <c r="E487" s="43"/>
      <c r="F487" s="24"/>
      <c r="G487" s="90"/>
      <c r="H487" s="96"/>
      <c r="I487" s="35"/>
      <c r="J487" s="24"/>
      <c r="K487" s="24"/>
      <c r="L487" s="24"/>
      <c r="M487" s="25"/>
      <c r="N487" s="25"/>
    </row>
    <row r="488" spans="1:14" ht="15.95" customHeight="1" x14ac:dyDescent="0.25">
      <c r="A488" s="121"/>
      <c r="B488" s="23"/>
      <c r="C488" s="59" t="s">
        <v>14</v>
      </c>
      <c r="D488" s="142">
        <v>7.4999999999999997E-2</v>
      </c>
      <c r="E488" s="44"/>
      <c r="F488" s="24"/>
      <c r="G488" s="90"/>
      <c r="H488" s="23"/>
      <c r="I488" s="24"/>
      <c r="J488" s="24"/>
      <c r="K488" s="24"/>
      <c r="L488" s="24"/>
      <c r="M488" s="25"/>
      <c r="N488" s="25"/>
    </row>
    <row r="489" spans="1:14" ht="15.95" customHeight="1" x14ac:dyDescent="0.25">
      <c r="A489" s="121"/>
      <c r="B489" s="23"/>
      <c r="C489" s="59" t="s">
        <v>54</v>
      </c>
      <c r="D489" s="143">
        <v>0.33333333333333337</v>
      </c>
      <c r="E489" s="24"/>
      <c r="F489" s="24"/>
      <c r="G489" s="90"/>
      <c r="H489" s="23"/>
      <c r="I489" s="24"/>
      <c r="J489" s="24"/>
      <c r="K489" s="24"/>
      <c r="L489" s="24"/>
      <c r="M489" s="25"/>
      <c r="N489" s="25"/>
    </row>
    <row r="490" spans="1:14" ht="15.95" customHeight="1" x14ac:dyDescent="0.25">
      <c r="A490" s="121"/>
      <c r="B490" s="23"/>
      <c r="C490" s="63"/>
      <c r="D490" s="145"/>
      <c r="E490" s="24"/>
      <c r="F490" s="24"/>
      <c r="G490" s="90"/>
      <c r="H490" s="23"/>
      <c r="I490" s="24"/>
      <c r="J490" s="24"/>
      <c r="K490" s="24"/>
      <c r="L490" s="24"/>
      <c r="M490" s="25"/>
      <c r="N490" s="25"/>
    </row>
    <row r="491" spans="1:14" ht="15.95" customHeight="1" x14ac:dyDescent="0.25">
      <c r="A491" s="121"/>
      <c r="B491" s="23"/>
      <c r="C491" s="24"/>
      <c r="D491" s="24"/>
      <c r="E491" s="24"/>
      <c r="F491" s="24"/>
      <c r="G491" s="90"/>
      <c r="H491" s="23"/>
      <c r="I491" s="24"/>
      <c r="J491" s="24"/>
      <c r="K491" s="24"/>
      <c r="L491" s="24"/>
      <c r="M491" s="25"/>
      <c r="N491" s="25"/>
    </row>
    <row r="492" spans="1:14" ht="15.95" customHeight="1" x14ac:dyDescent="0.25">
      <c r="A492" s="121"/>
      <c r="B492" s="23"/>
      <c r="C492" s="24"/>
      <c r="D492" s="24"/>
      <c r="E492" s="24"/>
      <c r="F492" s="24"/>
      <c r="G492" s="90"/>
      <c r="H492" s="23"/>
      <c r="I492" s="24"/>
      <c r="J492" s="24"/>
      <c r="K492" s="24"/>
      <c r="L492" s="24"/>
      <c r="M492" s="25"/>
      <c r="N492" s="25"/>
    </row>
    <row r="493" spans="1:14" ht="15.95" customHeight="1" x14ac:dyDescent="0.25">
      <c r="A493" s="121"/>
      <c r="B493" s="23"/>
      <c r="C493" s="24"/>
      <c r="D493" s="24"/>
      <c r="E493" s="24"/>
      <c r="F493" s="24"/>
      <c r="G493" s="90"/>
      <c r="H493" s="23"/>
      <c r="I493" s="24"/>
      <c r="J493" s="24"/>
      <c r="K493" s="24"/>
      <c r="L493" s="24"/>
      <c r="M493" s="25"/>
      <c r="N493" s="25"/>
    </row>
    <row r="494" spans="1:14" ht="15.95" customHeight="1" x14ac:dyDescent="0.25">
      <c r="A494" s="121"/>
      <c r="B494" s="23"/>
      <c r="C494" s="24"/>
      <c r="D494" s="24"/>
      <c r="E494" s="24"/>
      <c r="F494" s="24"/>
      <c r="G494" s="90"/>
      <c r="H494" s="23"/>
      <c r="I494" s="24"/>
      <c r="J494" s="24"/>
      <c r="K494" s="24"/>
      <c r="L494" s="24"/>
      <c r="M494" s="25"/>
      <c r="N494" s="25"/>
    </row>
    <row r="495" spans="1:14" ht="15.95" customHeight="1" x14ac:dyDescent="0.25">
      <c r="A495" s="121"/>
      <c r="B495" s="23"/>
      <c r="C495" s="24"/>
      <c r="D495" s="24"/>
      <c r="E495" s="24"/>
      <c r="F495" s="24"/>
      <c r="G495" s="90"/>
      <c r="H495" s="23"/>
      <c r="I495" s="24"/>
      <c r="J495" s="24"/>
      <c r="K495" s="24"/>
      <c r="L495" s="24"/>
      <c r="M495" s="25"/>
      <c r="N495" s="25"/>
    </row>
    <row r="496" spans="1:14" ht="15.95" customHeight="1" x14ac:dyDescent="0.25">
      <c r="A496" s="121"/>
      <c r="B496" s="23"/>
      <c r="C496" s="24"/>
      <c r="D496" s="24"/>
      <c r="E496" s="24"/>
      <c r="F496" s="24"/>
      <c r="G496" s="90"/>
      <c r="H496" s="26"/>
      <c r="I496" s="27"/>
      <c r="J496" s="27"/>
      <c r="K496" s="27"/>
      <c r="L496" s="27"/>
      <c r="M496" s="28"/>
      <c r="N496" s="25"/>
    </row>
    <row r="497" spans="1:15" ht="20.100000000000001" customHeight="1" x14ac:dyDescent="0.25">
      <c r="A497" s="121"/>
      <c r="B497" s="152"/>
      <c r="C497" s="156"/>
      <c r="D497" s="153"/>
      <c r="E497" s="153"/>
      <c r="F497" s="153"/>
      <c r="G497" s="154"/>
      <c r="H497" s="153"/>
      <c r="I497" s="153"/>
      <c r="J497" s="153"/>
      <c r="K497" s="153"/>
      <c r="L497" s="153"/>
      <c r="M497" s="153"/>
      <c r="N497" s="155"/>
    </row>
    <row r="498" spans="1:15" ht="15.95" customHeight="1" x14ac:dyDescent="0.25">
      <c r="A498" s="121"/>
      <c r="B498" s="683" t="s">
        <v>420</v>
      </c>
      <c r="C498" s="684"/>
      <c r="D498" s="684"/>
      <c r="E498" s="684"/>
      <c r="F498" s="684"/>
      <c r="G498" s="684"/>
      <c r="H498" s="684"/>
      <c r="I498" s="684"/>
      <c r="J498" s="684"/>
      <c r="K498" s="684"/>
      <c r="L498" s="684"/>
      <c r="M498" s="684"/>
      <c r="N498" s="685"/>
    </row>
    <row r="499" spans="1:15" ht="15.95" customHeight="1" x14ac:dyDescent="0.25">
      <c r="A499" s="121"/>
      <c r="B499" s="23"/>
      <c r="C499" s="24"/>
      <c r="D499" s="24"/>
      <c r="E499" s="24"/>
      <c r="F499" s="31"/>
      <c r="G499" s="87"/>
      <c r="H499" s="31"/>
      <c r="I499" s="31"/>
      <c r="J499" s="24"/>
      <c r="K499" s="24"/>
      <c r="L499" s="24"/>
      <c r="M499" s="24"/>
      <c r="N499" s="25"/>
      <c r="O499" s="194" t="str">
        <f>+D582</f>
        <v>ON Pyme CNV Garantizada</v>
      </c>
    </row>
    <row r="500" spans="1:15" ht="15.95" customHeight="1" x14ac:dyDescent="0.25">
      <c r="A500" s="121"/>
      <c r="B500" s="23"/>
      <c r="C500" s="693" t="s">
        <v>234</v>
      </c>
      <c r="D500" s="694"/>
      <c r="E500" s="695"/>
      <c r="F500" s="31"/>
      <c r="G500" s="87"/>
      <c r="H500" s="31"/>
      <c r="I500" s="31"/>
      <c r="J500" s="24"/>
      <c r="K500" s="24"/>
      <c r="L500" s="24"/>
      <c r="M500" s="24"/>
      <c r="N500" s="25"/>
    </row>
    <row r="501" spans="1:15" ht="15.95" customHeight="1" x14ac:dyDescent="0.25">
      <c r="A501" s="121"/>
      <c r="B501" s="23"/>
      <c r="C501" s="24"/>
      <c r="D501" s="24"/>
      <c r="E501" s="24"/>
      <c r="F501" s="31"/>
      <c r="G501" s="87"/>
      <c r="H501" s="31"/>
      <c r="I501" s="31"/>
      <c r="J501" s="24"/>
      <c r="K501" s="24"/>
      <c r="L501" s="24"/>
      <c r="M501" s="24"/>
      <c r="N501" s="25"/>
      <c r="O501" s="194" t="str">
        <f>+IF(J580="vencida",IF(D582='Reporte - Oscuro'!$C$40,'Reporte - Oscuro'!$C$40&amp;" vencida",IF(D582='Reporte - Oscuro'!$C$41,'Reporte - Oscuro'!$C$41&amp;" vencida",IF(D582='Reporte - Oscuro'!$C$42,'Reporte - Oscuro'!$C$42&amp;" vencida",'Reporte - Oscuro'!$C$43&amp;" vencida"))),D582&amp;" vigente")</f>
        <v>ON Pyme CNV Garantizada vencida</v>
      </c>
    </row>
    <row r="502" spans="1:15" ht="15.95" customHeight="1" x14ac:dyDescent="0.25">
      <c r="A502" s="121"/>
      <c r="B502" s="23"/>
      <c r="C502" s="638" t="s">
        <v>37</v>
      </c>
      <c r="D502" s="639"/>
      <c r="E502" s="640"/>
      <c r="F502" s="31"/>
      <c r="G502" s="87"/>
      <c r="H502" s="641" t="s">
        <v>28</v>
      </c>
      <c r="I502" s="642"/>
      <c r="J502" s="39">
        <f>+$D$522-SUMIF($H$508:$H$520,"&lt;"&amp;$M$4,$K$508:$K$520)</f>
        <v>0</v>
      </c>
      <c r="K502" s="24"/>
      <c r="L502" s="24"/>
      <c r="M502" s="24"/>
      <c r="N502" s="25"/>
    </row>
    <row r="503" spans="1:15" ht="15.95" customHeight="1" x14ac:dyDescent="0.25">
      <c r="A503" s="121"/>
      <c r="B503" s="23"/>
      <c r="C503" s="58"/>
      <c r="D503" s="664"/>
      <c r="E503" s="665"/>
      <c r="F503" s="31"/>
      <c r="G503" s="87"/>
      <c r="H503" s="645" t="s">
        <v>29</v>
      </c>
      <c r="I503" s="646"/>
      <c r="J503" s="40">
        <f>+$D$521</f>
        <v>45049</v>
      </c>
      <c r="K503" s="24"/>
      <c r="L503" s="24"/>
      <c r="M503" s="24"/>
      <c r="N503" s="25"/>
    </row>
    <row r="504" spans="1:15" ht="15.95" customHeight="1" x14ac:dyDescent="0.25">
      <c r="A504" s="121"/>
      <c r="B504" s="23"/>
      <c r="C504" s="59" t="s">
        <v>25</v>
      </c>
      <c r="D504" s="681"/>
      <c r="E504" s="682"/>
      <c r="F504" s="31"/>
      <c r="G504" s="87"/>
      <c r="H504" s="649" t="s">
        <v>30</v>
      </c>
      <c r="I504" s="650"/>
      <c r="J504" s="42" t="str">
        <f t="array" ref="J504">+IF(H519&gt;=M4,MIN(IF($H$508:$H$520&gt;$M$4,$H$508:$H$520,"")),"vencida")</f>
        <v>vencida</v>
      </c>
      <c r="K504" s="24"/>
      <c r="L504" s="24"/>
      <c r="M504" s="24"/>
      <c r="N504" s="25"/>
    </row>
    <row r="505" spans="1:15" ht="15.95" customHeight="1" x14ac:dyDescent="0.25">
      <c r="A505" s="121"/>
      <c r="B505" s="23"/>
      <c r="C505" s="59" t="s">
        <v>6</v>
      </c>
      <c r="D505" s="681" t="s">
        <v>146</v>
      </c>
      <c r="E505" s="682"/>
      <c r="F505" s="31"/>
      <c r="G505" s="87"/>
      <c r="H505" s="24"/>
      <c r="I505" s="24"/>
      <c r="J505" s="24"/>
      <c r="K505" s="24"/>
      <c r="L505" s="24"/>
      <c r="M505" s="24"/>
      <c r="N505" s="25"/>
    </row>
    <row r="506" spans="1:15" ht="15.95" customHeight="1" x14ac:dyDescent="0.25">
      <c r="A506" s="121"/>
      <c r="B506" s="23"/>
      <c r="C506" s="59" t="s">
        <v>8</v>
      </c>
      <c r="D506" s="681" t="s">
        <v>17</v>
      </c>
      <c r="E506" s="682"/>
      <c r="F506" s="31"/>
      <c r="G506" s="87"/>
      <c r="H506" s="677" t="s">
        <v>41</v>
      </c>
      <c r="I506" s="678"/>
      <c r="J506" s="678"/>
      <c r="K506" s="678"/>
      <c r="L506" s="679"/>
      <c r="M506" s="24"/>
      <c r="N506" s="25"/>
      <c r="O506" s="97">
        <f>+M585</f>
        <v>-200000</v>
      </c>
    </row>
    <row r="507" spans="1:15" ht="15.95" customHeight="1" x14ac:dyDescent="0.25">
      <c r="A507" s="121"/>
      <c r="B507" s="23"/>
      <c r="C507" s="59" t="s">
        <v>33</v>
      </c>
      <c r="D507" s="132" t="str">
        <f>$D$470</f>
        <v>ACINDAR PYMES S.G.R.</v>
      </c>
      <c r="E507" s="274">
        <v>1</v>
      </c>
      <c r="F507" s="31">
        <f>E507*J502</f>
        <v>0</v>
      </c>
      <c r="G507" s="87"/>
      <c r="H507" s="146" t="s">
        <v>0</v>
      </c>
      <c r="I507" s="147" t="s">
        <v>2</v>
      </c>
      <c r="J507" s="147" t="s">
        <v>3</v>
      </c>
      <c r="K507" s="147" t="s">
        <v>4</v>
      </c>
      <c r="L507" s="148" t="s">
        <v>5</v>
      </c>
      <c r="M507" s="148" t="s">
        <v>44</v>
      </c>
      <c r="N507" s="25"/>
      <c r="O507" s="97">
        <f t="shared" ref="O507:O512" si="41">+M586+O506</f>
        <v>-158096.80365296802</v>
      </c>
    </row>
    <row r="508" spans="1:15" ht="15.95" customHeight="1" x14ac:dyDescent="0.25">
      <c r="A508" s="121"/>
      <c r="B508" s="23"/>
      <c r="C508" s="59" t="s">
        <v>34</v>
      </c>
      <c r="D508" s="681"/>
      <c r="E508" s="682"/>
      <c r="F508" s="31"/>
      <c r="G508" s="87"/>
      <c r="H508" s="45"/>
      <c r="I508" s="46"/>
      <c r="J508" s="46"/>
      <c r="K508" s="46"/>
      <c r="L508" s="47"/>
      <c r="M508" s="101"/>
      <c r="N508" s="25"/>
      <c r="O508" s="97">
        <f t="shared" si="41"/>
        <v>-117738.35616438356</v>
      </c>
    </row>
    <row r="509" spans="1:15" ht="15.95" customHeight="1" x14ac:dyDescent="0.25">
      <c r="A509" s="121"/>
      <c r="B509" s="23"/>
      <c r="C509" s="79" t="s">
        <v>38</v>
      </c>
      <c r="D509" s="130"/>
      <c r="E509" s="131"/>
      <c r="F509" s="31"/>
      <c r="G509" s="87"/>
      <c r="H509" s="48">
        <f>+$D$520</f>
        <v>43223</v>
      </c>
      <c r="I509" s="136"/>
      <c r="J509" s="49"/>
      <c r="K509" s="49"/>
      <c r="L509" s="50">
        <f>+D522</f>
        <v>300000</v>
      </c>
      <c r="M509" s="102">
        <f>-L509</f>
        <v>-300000</v>
      </c>
      <c r="N509" s="25"/>
      <c r="O509" s="97">
        <f t="shared" si="41"/>
        <v>-78629.680365296794</v>
      </c>
    </row>
    <row r="510" spans="1:15" ht="15.95" customHeight="1" x14ac:dyDescent="0.25">
      <c r="A510" s="121"/>
      <c r="B510" s="23"/>
      <c r="C510" s="59"/>
      <c r="D510" s="132"/>
      <c r="E510" s="133"/>
      <c r="F510" s="31"/>
      <c r="G510" s="87"/>
      <c r="H510" s="51">
        <f>IF(DAY(H509)=DAY($H$509),IF(WEEKDAY(EDATE(H509,$D$523),3)&lt;5,EDATE(H509,$D$523),WORKDAY(EDATE(H509,$D$523),1)),IF(WEEKDAY(EDATE($H$509,$D$523*COUNT($H$509:H509)),3)&lt;5,EDATE($H$509,$D$523*COUNT($H$509:H509)),WORKDAY(EDATE($H$509,$D$523*COUNT($H$509:H509)),1)))</f>
        <v>43409</v>
      </c>
      <c r="I510" s="137" t="s">
        <v>7</v>
      </c>
      <c r="J510" s="52">
        <f t="shared" ref="J510:J519" si="42">+(($D$525/365)*(H510-H509))*L509</f>
        <v>12230.136986301372</v>
      </c>
      <c r="K510" s="52">
        <f>+IF(OR(I510="A + C",I510="A"),$L$509*$D$526,0)</f>
        <v>0</v>
      </c>
      <c r="L510" s="53">
        <f t="shared" ref="L510:L519" si="43">+L509-K510</f>
        <v>300000</v>
      </c>
      <c r="M510" s="103">
        <f t="shared" ref="M510:M519" si="44">+J510+K510</f>
        <v>12230.136986301372</v>
      </c>
      <c r="N510" s="25"/>
      <c r="O510" s="97">
        <f t="shared" si="41"/>
        <v>-41057.990867579894</v>
      </c>
    </row>
    <row r="511" spans="1:15" ht="15.95" customHeight="1" x14ac:dyDescent="0.25">
      <c r="A511" s="121"/>
      <c r="B511" s="23"/>
      <c r="C511" s="60"/>
      <c r="D511" s="134"/>
      <c r="E511" s="135"/>
      <c r="F511" s="34"/>
      <c r="G511" s="88"/>
      <c r="H511" s="51">
        <f>IF(DAY(H510)=DAY($H$509),IF(WEEKDAY(EDATE(H510,$D$523),3)&lt;5,EDATE(H510,$D$523),WORKDAY(EDATE(H510,$D$523),1)),IF(WEEKDAY(EDATE($H$509,$D$523*COUNT($H$509:H510)),3)&lt;5,EDATE($H$509,$D$523*COUNT($H$509:H510)),WORKDAY(EDATE($H$509,$D$523*COUNT($H$509:H510)),1)))</f>
        <v>43588</v>
      </c>
      <c r="I511" s="137" t="s">
        <v>7</v>
      </c>
      <c r="J511" s="52">
        <f t="shared" si="42"/>
        <v>11769.86301369863</v>
      </c>
      <c r="K511" s="52">
        <f t="shared" ref="K511:K519" si="45">+IF(OR(I511="A + C",I511="A"),$D$522*$D$526,0)</f>
        <v>0</v>
      </c>
      <c r="L511" s="53">
        <f t="shared" si="43"/>
        <v>300000</v>
      </c>
      <c r="M511" s="103">
        <f t="shared" si="44"/>
        <v>11769.86301369863</v>
      </c>
      <c r="N511" s="25"/>
      <c r="O511" s="97">
        <f t="shared" si="41"/>
        <v>-4899.0867579908518</v>
      </c>
    </row>
    <row r="512" spans="1:15" ht="15.95" customHeight="1" x14ac:dyDescent="0.25">
      <c r="A512" s="121"/>
      <c r="B512" s="23"/>
      <c r="C512" s="60"/>
      <c r="D512" s="55" t="str">
        <f>B498</f>
        <v>Del Fabro Hnos y Cía I Clase B</v>
      </c>
      <c r="E512" s="64"/>
      <c r="G512" s="34">
        <f>J502</f>
        <v>0</v>
      </c>
      <c r="H512" s="51">
        <f>IF(DAY(H511)=DAY($H$509),IF(WEEKDAY(EDATE(H511,$D$523),3)&lt;5,EDATE(H511,$D$523),WORKDAY(EDATE(H511,$D$523),1)),IF(WEEKDAY(EDATE($H$509,$D$523*COUNT($H$509:H511)),3)&lt;5,EDATE($H$509,$D$523*COUNT($H$509:H511)),WORKDAY(EDATE($H$509,$D$523*COUNT($H$509:H511)),1)))</f>
        <v>43773</v>
      </c>
      <c r="I512" s="137" t="s">
        <v>7</v>
      </c>
      <c r="J512" s="52">
        <f t="shared" si="42"/>
        <v>12164.383561643837</v>
      </c>
      <c r="K512" s="52">
        <f t="shared" si="45"/>
        <v>0</v>
      </c>
      <c r="L512" s="53">
        <f t="shared" si="43"/>
        <v>300000</v>
      </c>
      <c r="M512" s="103">
        <f t="shared" si="44"/>
        <v>12164.383561643837</v>
      </c>
      <c r="N512" s="25"/>
      <c r="O512" s="97">
        <f t="shared" si="41"/>
        <v>29847.031963470334</v>
      </c>
    </row>
    <row r="513" spans="1:15" ht="15.95" customHeight="1" x14ac:dyDescent="0.25">
      <c r="A513" s="121"/>
      <c r="B513" s="32"/>
      <c r="D513" s="644"/>
      <c r="E513" s="660"/>
      <c r="F513" s="34"/>
      <c r="G513" s="88"/>
      <c r="H513" s="51">
        <f>IF(DAY(H512)=DAY($H$509),IF(WEEKDAY(EDATE(H512,$D$523),3)&lt;5,EDATE(H512,$D$523),WORKDAY(EDATE(H512,$D$523),1)),IF(WEEKDAY(EDATE($H$509,$D$523*COUNT($H$509:H512)),3)&lt;5,EDATE($H$509,$D$523*COUNT($H$509:H512)),WORKDAY(EDATE($H$509,$D$523*COUNT($H$509:H512)),1)))</f>
        <v>43955</v>
      </c>
      <c r="I513" s="137" t="s">
        <v>7</v>
      </c>
      <c r="J513" s="52">
        <f t="shared" si="42"/>
        <v>11967.123287671233</v>
      </c>
      <c r="K513" s="52">
        <f t="shared" si="45"/>
        <v>0</v>
      </c>
      <c r="L513" s="53">
        <f t="shared" si="43"/>
        <v>300000</v>
      </c>
      <c r="M513" s="103">
        <f t="shared" si="44"/>
        <v>11967.123287671233</v>
      </c>
      <c r="N513" s="25"/>
      <c r="O513" s="97"/>
    </row>
    <row r="514" spans="1:15" ht="15.95" customHeight="1" x14ac:dyDescent="0.25">
      <c r="A514" s="121"/>
      <c r="B514" s="23"/>
      <c r="C514" s="638" t="s">
        <v>36</v>
      </c>
      <c r="D514" s="640"/>
      <c r="E514" s="36"/>
      <c r="F514" s="34"/>
      <c r="G514" s="88"/>
      <c r="H514" s="51">
        <f>IF(DAY(H513)=DAY($H$509),IF(WEEKDAY(EDATE(H513,$D$523),3)&lt;5,EDATE(H513,$D$523),WORKDAY(EDATE(H513,$D$523),1)),IF(WEEKDAY(EDATE($H$509,$D$523*COUNT($H$509:H513)),3)&lt;5,EDATE($H$509,$D$523*COUNT($H$509:H513)),WORKDAY(EDATE($H$509,$D$523*COUNT($H$509:H513)),1)))</f>
        <v>44138</v>
      </c>
      <c r="I514" s="137" t="s">
        <v>7</v>
      </c>
      <c r="J514" s="52">
        <f t="shared" si="42"/>
        <v>12032.876712328767</v>
      </c>
      <c r="K514" s="52">
        <f t="shared" si="45"/>
        <v>0</v>
      </c>
      <c r="L514" s="53">
        <f t="shared" si="43"/>
        <v>300000</v>
      </c>
      <c r="M514" s="103">
        <f t="shared" si="44"/>
        <v>12032.876712328767</v>
      </c>
      <c r="N514" s="25"/>
      <c r="O514" s="97"/>
    </row>
    <row r="515" spans="1:15" ht="15.95" customHeight="1" x14ac:dyDescent="0.25">
      <c r="A515" s="121"/>
      <c r="B515" s="23"/>
      <c r="C515" s="59"/>
      <c r="D515" s="62"/>
      <c r="E515" s="36"/>
      <c r="F515" s="36"/>
      <c r="G515" s="89"/>
      <c r="H515" s="51">
        <f>IF(DAY(H514)=DAY($H$509),IF(WEEKDAY(EDATE(H514,$D$523),3)&lt;5,EDATE(H514,$D$523),WORKDAY(EDATE(H514,$D$523),1)),IF(WEEKDAY(EDATE($H$509,$D$523*COUNT($H$509:H514)),3)&lt;5,EDATE($H$509,$D$523*COUNT($H$509:H514)),WORKDAY(EDATE($H$509,$D$523*COUNT($H$509:H514)),1)))</f>
        <v>44319</v>
      </c>
      <c r="I515" s="137" t="s">
        <v>7</v>
      </c>
      <c r="J515" s="52">
        <f t="shared" si="42"/>
        <v>11901.369863013699</v>
      </c>
      <c r="K515" s="52">
        <f t="shared" si="45"/>
        <v>0</v>
      </c>
      <c r="L515" s="53">
        <f t="shared" si="43"/>
        <v>300000</v>
      </c>
      <c r="M515" s="103">
        <f t="shared" si="44"/>
        <v>11901.369863013699</v>
      </c>
      <c r="N515" s="25"/>
      <c r="O515" s="97"/>
    </row>
    <row r="516" spans="1:15" ht="15.95" customHeight="1" x14ac:dyDescent="0.25">
      <c r="A516" s="121"/>
      <c r="B516" s="23"/>
      <c r="C516" s="59" t="s">
        <v>9</v>
      </c>
      <c r="D516" s="129" t="s">
        <v>49</v>
      </c>
      <c r="E516" s="36"/>
      <c r="F516" s="36"/>
      <c r="G516" s="89"/>
      <c r="H516" s="51">
        <f>IF(DAY(H515)=DAY($H$509),IF(WEEKDAY(EDATE(H515,$D$523),3)&lt;5,EDATE(H515,$D$523),WORKDAY(EDATE(H515,$D$523),1)),IF(WEEKDAY(EDATE($H$509,$D$523*COUNT($H$509:H515)),3)&lt;5,EDATE($H$509,$D$523*COUNT($H$509:H515)),WORKDAY(EDATE($H$509,$D$523*COUNT($H$509:H515)),1)))</f>
        <v>44503</v>
      </c>
      <c r="I516" s="137" t="s">
        <v>7</v>
      </c>
      <c r="J516" s="52">
        <f t="shared" si="42"/>
        <v>12098.630136986301</v>
      </c>
      <c r="K516" s="52">
        <f t="shared" si="45"/>
        <v>0</v>
      </c>
      <c r="L516" s="53">
        <f t="shared" si="43"/>
        <v>300000</v>
      </c>
      <c r="M516" s="103">
        <f t="shared" si="44"/>
        <v>12098.630136986301</v>
      </c>
      <c r="N516" s="25"/>
      <c r="O516" s="97"/>
    </row>
    <row r="517" spans="1:15" ht="15.95" customHeight="1" x14ac:dyDescent="0.25">
      <c r="A517" s="121"/>
      <c r="B517" s="23"/>
      <c r="C517" s="59" t="s">
        <v>51</v>
      </c>
      <c r="D517" s="138" t="s">
        <v>18</v>
      </c>
      <c r="E517" s="36"/>
      <c r="F517" s="36"/>
      <c r="G517" s="89"/>
      <c r="H517" s="51">
        <f>IF(DAY(H516)=DAY($H$509),IF(WEEKDAY(EDATE(H516,$D$523),3)&lt;5,EDATE(H516,$D$523),WORKDAY(EDATE(H516,$D$523),1)),IF(WEEKDAY(EDATE($H$509,$D$523*COUNT($H$509:H516)),3)&lt;5,EDATE($H$509,$D$523*COUNT($H$509:H516)),WORKDAY(EDATE($H$509,$D$523*COUNT($H$509:H516)),1)))</f>
        <v>44684</v>
      </c>
      <c r="I517" s="137" t="s">
        <v>13</v>
      </c>
      <c r="J517" s="52">
        <f t="shared" si="42"/>
        <v>11901.369863013699</v>
      </c>
      <c r="K517" s="52">
        <f t="shared" si="45"/>
        <v>150000</v>
      </c>
      <c r="L517" s="53">
        <f t="shared" si="43"/>
        <v>150000</v>
      </c>
      <c r="M517" s="103">
        <f t="shared" si="44"/>
        <v>161901.36986301371</v>
      </c>
      <c r="N517" s="25"/>
    </row>
    <row r="518" spans="1:15" ht="15.95" customHeight="1" x14ac:dyDescent="0.25">
      <c r="A518" s="121"/>
      <c r="B518" s="23"/>
      <c r="C518" s="59" t="s">
        <v>52</v>
      </c>
      <c r="D518" s="138" t="s">
        <v>18</v>
      </c>
      <c r="E518" s="36"/>
      <c r="F518" s="36"/>
      <c r="G518" s="89"/>
      <c r="H518" s="51">
        <f>IF(DAY(H517)=DAY($H$509),IF(WEEKDAY(EDATE(H517,$D$523),3)&lt;5,EDATE(H517,$D$523),WORKDAY(EDATE(H517,$D$523),1)),IF(WEEKDAY(EDATE($H$509,$D$523*COUNT($H$509:H517)),3)&lt;5,EDATE($H$509,$D$523*COUNT($H$509:H517)),WORKDAY(EDATE($H$509,$D$523*COUNT($H$509:H517)),1)))</f>
        <v>44868</v>
      </c>
      <c r="I518" s="137" t="s">
        <v>7</v>
      </c>
      <c r="J518" s="52">
        <f t="shared" si="42"/>
        <v>6049.3150684931506</v>
      </c>
      <c r="K518" s="52">
        <f t="shared" si="45"/>
        <v>0</v>
      </c>
      <c r="L518" s="53">
        <f t="shared" si="43"/>
        <v>150000</v>
      </c>
      <c r="M518" s="103">
        <f t="shared" si="44"/>
        <v>6049.3150684931506</v>
      </c>
      <c r="N518" s="25"/>
    </row>
    <row r="519" spans="1:15" ht="15.95" customHeight="1" x14ac:dyDescent="0.25">
      <c r="A519" s="121"/>
      <c r="B519" s="23"/>
      <c r="C519" s="59" t="s">
        <v>10</v>
      </c>
      <c r="D519" s="139">
        <v>43216</v>
      </c>
      <c r="E519" s="36"/>
      <c r="F519" s="36"/>
      <c r="G519" s="89"/>
      <c r="H519" s="51">
        <f>IF(DAY(H518)=DAY($H$509),IF(WEEKDAY(EDATE(H518,$D$523),3)&lt;5,EDATE(H518,$D$523),WORKDAY(EDATE(H518,$D$523),1)),IF(WEEKDAY(EDATE($H$509,$D$523*COUNT($H$509:H518)),3)&lt;5,EDATE($H$509,$D$523*COUNT($H$509:H518)),WORKDAY(EDATE($H$509,$D$523*COUNT($H$509:H518)),1)))</f>
        <v>45049</v>
      </c>
      <c r="I519" s="137" t="s">
        <v>13</v>
      </c>
      <c r="J519" s="52">
        <f t="shared" si="42"/>
        <v>5950.6849315068494</v>
      </c>
      <c r="K519" s="52">
        <f t="shared" si="45"/>
        <v>150000</v>
      </c>
      <c r="L519" s="53">
        <f t="shared" si="43"/>
        <v>0</v>
      </c>
      <c r="M519" s="103">
        <f t="shared" si="44"/>
        <v>155950.68493150684</v>
      </c>
      <c r="N519" s="25"/>
    </row>
    <row r="520" spans="1:15" ht="15.95" customHeight="1" x14ac:dyDescent="0.25">
      <c r="A520" s="121"/>
      <c r="B520" s="23"/>
      <c r="C520" s="59" t="s">
        <v>11</v>
      </c>
      <c r="D520" s="139">
        <v>43223</v>
      </c>
      <c r="E520" s="41"/>
      <c r="F520" s="24"/>
      <c r="G520" s="90"/>
      <c r="H520" s="54"/>
      <c r="I520" s="144"/>
      <c r="J520" s="55"/>
      <c r="K520" s="56"/>
      <c r="L520" s="57"/>
      <c r="M520" s="108"/>
      <c r="N520" s="25"/>
    </row>
    <row r="521" spans="1:15" ht="15.95" customHeight="1" x14ac:dyDescent="0.25">
      <c r="A521" s="121"/>
      <c r="B521" s="23"/>
      <c r="C521" s="59" t="s">
        <v>12</v>
      </c>
      <c r="D521" s="139">
        <v>45049</v>
      </c>
      <c r="E521" s="36"/>
      <c r="F521" s="24"/>
      <c r="G521" s="90"/>
      <c r="H521" s="24"/>
      <c r="I521" s="24"/>
      <c r="J521" s="24"/>
      <c r="K521" s="24"/>
      <c r="L521" s="24"/>
      <c r="M521" s="24"/>
      <c r="N521" s="25"/>
    </row>
    <row r="522" spans="1:15" ht="15.95" customHeight="1" x14ac:dyDescent="0.25">
      <c r="A522" s="121"/>
      <c r="B522" s="23"/>
      <c r="C522" s="59" t="s">
        <v>27</v>
      </c>
      <c r="D522" s="140">
        <v>300000</v>
      </c>
      <c r="E522" s="43"/>
      <c r="F522" s="24"/>
      <c r="G522" s="90"/>
      <c r="H522" s="680" t="s">
        <v>43</v>
      </c>
      <c r="I522" s="680"/>
      <c r="J522" s="92">
        <f>+J502+(L519*D525)*($M$4-H519)/365</f>
        <v>0</v>
      </c>
      <c r="K522" s="92"/>
      <c r="L522" s="24"/>
      <c r="M522" s="24"/>
      <c r="N522" s="25"/>
    </row>
    <row r="523" spans="1:15" ht="15.95" customHeight="1" x14ac:dyDescent="0.25">
      <c r="A523" s="121"/>
      <c r="B523" s="23"/>
      <c r="C523" s="59" t="s">
        <v>26</v>
      </c>
      <c r="D523" s="140">
        <v>6</v>
      </c>
      <c r="E523" s="43"/>
      <c r="F523" s="24"/>
      <c r="G523" s="90"/>
      <c r="H523" s="657"/>
      <c r="I523" s="657"/>
      <c r="J523" s="392"/>
      <c r="K523" s="24"/>
      <c r="L523" s="33"/>
      <c r="M523" s="33"/>
      <c r="N523" s="25"/>
    </row>
    <row r="524" spans="1:15" ht="15.95" customHeight="1" x14ac:dyDescent="0.25">
      <c r="A524" s="121"/>
      <c r="B524" s="23"/>
      <c r="C524" s="59" t="s">
        <v>19</v>
      </c>
      <c r="D524" s="141" t="s">
        <v>50</v>
      </c>
      <c r="E524" s="43"/>
      <c r="F524" s="24"/>
      <c r="G524" s="90"/>
      <c r="H524" s="24"/>
      <c r="I524" s="24"/>
      <c r="J524" s="24"/>
      <c r="K524" s="24"/>
      <c r="L524" s="24"/>
      <c r="M524" s="24"/>
      <c r="N524" s="25"/>
    </row>
    <row r="525" spans="1:15" ht="15.95" customHeight="1" x14ac:dyDescent="0.25">
      <c r="A525" s="121"/>
      <c r="B525" s="23"/>
      <c r="C525" s="59" t="s">
        <v>14</v>
      </c>
      <c r="D525" s="142">
        <v>0.08</v>
      </c>
      <c r="E525" s="44"/>
      <c r="F525" s="24"/>
      <c r="G525" s="90"/>
      <c r="H525" s="638" t="s">
        <v>44</v>
      </c>
      <c r="I525" s="639"/>
      <c r="J525" s="639"/>
      <c r="K525" s="639"/>
      <c r="L525" s="639"/>
      <c r="M525" s="640"/>
      <c r="N525" s="25"/>
    </row>
    <row r="526" spans="1:15" ht="15.95" customHeight="1" x14ac:dyDescent="0.25">
      <c r="A526" s="121"/>
      <c r="B526" s="23"/>
      <c r="C526" s="59" t="s">
        <v>81</v>
      </c>
      <c r="D526" s="143">
        <v>0.5</v>
      </c>
      <c r="E526" s="24"/>
      <c r="F526" s="24"/>
      <c r="G526" s="90"/>
      <c r="H526" s="23"/>
      <c r="I526" s="24"/>
      <c r="J526" s="24"/>
      <c r="K526" s="24"/>
      <c r="L526" s="24"/>
      <c r="M526" s="25"/>
      <c r="N526" s="25"/>
    </row>
    <row r="527" spans="1:15" ht="15.95" customHeight="1" x14ac:dyDescent="0.25">
      <c r="A527" s="121"/>
      <c r="B527" s="23"/>
      <c r="C527" s="63"/>
      <c r="D527" s="145"/>
      <c r="E527" s="24"/>
      <c r="F527" s="24"/>
      <c r="G527" s="90"/>
      <c r="H527" s="23"/>
      <c r="I527" s="24"/>
      <c r="J527" s="24"/>
      <c r="K527" s="24"/>
      <c r="L527" s="24"/>
      <c r="M527" s="25"/>
      <c r="N527" s="25"/>
    </row>
    <row r="528" spans="1:15" ht="15.95" customHeight="1" x14ac:dyDescent="0.25">
      <c r="A528" s="121"/>
      <c r="B528" s="23"/>
      <c r="C528" s="24"/>
      <c r="D528" s="24"/>
      <c r="E528" s="24"/>
      <c r="F528" s="24"/>
      <c r="G528" s="90"/>
      <c r="H528" s="96"/>
      <c r="I528" s="35"/>
      <c r="J528" s="24"/>
      <c r="K528" s="24"/>
      <c r="L528" s="24"/>
      <c r="M528" s="25"/>
      <c r="N528" s="25"/>
    </row>
    <row r="529" spans="1:15" ht="15.95" customHeight="1" x14ac:dyDescent="0.25">
      <c r="A529" s="121"/>
      <c r="B529" s="23"/>
      <c r="C529" s="24"/>
      <c r="D529" s="24"/>
      <c r="E529" s="24"/>
      <c r="F529" s="24"/>
      <c r="G529" s="90"/>
      <c r="H529" s="23"/>
      <c r="I529" s="24"/>
      <c r="J529" s="24"/>
      <c r="K529" s="24"/>
      <c r="L529" s="24"/>
      <c r="M529" s="25"/>
      <c r="N529" s="25"/>
    </row>
    <row r="530" spans="1:15" ht="15.95" customHeight="1" x14ac:dyDescent="0.25">
      <c r="A530" s="121"/>
      <c r="B530" s="23"/>
      <c r="C530" s="24"/>
      <c r="D530" s="24"/>
      <c r="E530" s="24"/>
      <c r="F530" s="24"/>
      <c r="G530" s="90"/>
      <c r="H530" s="23"/>
      <c r="I530" s="24"/>
      <c r="J530" s="24"/>
      <c r="K530" s="24"/>
      <c r="L530" s="24"/>
      <c r="M530" s="25"/>
      <c r="N530" s="25"/>
    </row>
    <row r="531" spans="1:15" ht="15.95" customHeight="1" x14ac:dyDescent="0.25">
      <c r="A531" s="121"/>
      <c r="B531" s="23"/>
      <c r="C531" s="24"/>
      <c r="D531" s="24"/>
      <c r="E531" s="24"/>
      <c r="F531" s="24"/>
      <c r="G531" s="90"/>
      <c r="H531" s="23"/>
      <c r="I531" s="24"/>
      <c r="J531" s="24"/>
      <c r="K531" s="24"/>
      <c r="L531" s="24"/>
      <c r="M531" s="25"/>
      <c r="N531" s="25"/>
    </row>
    <row r="532" spans="1:15" ht="15.95" customHeight="1" x14ac:dyDescent="0.25">
      <c r="A532" s="121"/>
      <c r="B532" s="23"/>
      <c r="C532" s="24"/>
      <c r="D532" s="24"/>
      <c r="E532" s="24"/>
      <c r="F532" s="24"/>
      <c r="G532" s="90"/>
      <c r="H532" s="23"/>
      <c r="I532" s="24"/>
      <c r="J532" s="24"/>
      <c r="K532" s="24"/>
      <c r="L532" s="24"/>
      <c r="M532" s="25"/>
      <c r="N532" s="25"/>
    </row>
    <row r="533" spans="1:15" ht="20.100000000000001" customHeight="1" x14ac:dyDescent="0.25">
      <c r="A533" s="121"/>
      <c r="B533" s="23"/>
      <c r="C533" s="24"/>
      <c r="D533" s="24"/>
      <c r="E533" s="24"/>
      <c r="F533" s="24"/>
      <c r="G533" s="90"/>
      <c r="H533" s="23"/>
      <c r="I533" s="24"/>
      <c r="J533" s="24"/>
      <c r="K533" s="24"/>
      <c r="L533" s="24"/>
      <c r="M533" s="25"/>
      <c r="N533" s="25"/>
    </row>
    <row r="534" spans="1:15" ht="15.95" customHeight="1" x14ac:dyDescent="0.25">
      <c r="A534" s="121"/>
      <c r="B534" s="23"/>
      <c r="C534" s="24"/>
      <c r="D534" s="24"/>
      <c r="E534" s="24"/>
      <c r="F534" s="24"/>
      <c r="G534" s="90"/>
      <c r="H534" s="23"/>
      <c r="I534" s="24"/>
      <c r="J534" s="24"/>
      <c r="K534" s="24"/>
      <c r="L534" s="24"/>
      <c r="M534" s="25"/>
      <c r="N534" s="25"/>
    </row>
    <row r="535" spans="1:15" ht="20.100000000000001" customHeight="1" x14ac:dyDescent="0.25">
      <c r="A535" s="121"/>
      <c r="B535" s="23"/>
      <c r="C535" s="24"/>
      <c r="D535" s="24"/>
      <c r="E535" s="24"/>
      <c r="F535" s="24"/>
      <c r="G535" s="90"/>
      <c r="H535" s="23"/>
      <c r="I535" s="24"/>
      <c r="J535" s="24"/>
      <c r="K535" s="24"/>
      <c r="L535" s="24"/>
      <c r="M535" s="25"/>
      <c r="N535" s="25"/>
    </row>
    <row r="536" spans="1:15" ht="15.95" customHeight="1" x14ac:dyDescent="0.25">
      <c r="A536" s="121"/>
      <c r="B536" s="23"/>
      <c r="C536" s="24"/>
      <c r="D536" s="24"/>
      <c r="E536" s="24"/>
      <c r="F536" s="24"/>
      <c r="G536" s="90"/>
      <c r="H536" s="23"/>
      <c r="I536" s="24"/>
      <c r="J536" s="24"/>
      <c r="K536" s="24"/>
      <c r="L536" s="24"/>
      <c r="M536" s="25"/>
      <c r="N536" s="25"/>
    </row>
    <row r="537" spans="1:15" ht="15.95" customHeight="1" x14ac:dyDescent="0.25">
      <c r="A537" s="121"/>
      <c r="B537" s="23"/>
      <c r="C537" s="24"/>
      <c r="D537" s="24"/>
      <c r="E537" s="24"/>
      <c r="F537" s="24"/>
      <c r="G537" s="90"/>
      <c r="H537" s="26"/>
      <c r="I537" s="27"/>
      <c r="J537" s="27"/>
      <c r="K537" s="27"/>
      <c r="L537" s="27"/>
      <c r="M537" s="28"/>
      <c r="N537" s="25"/>
      <c r="O537" s="194" t="str">
        <f>+D618</f>
        <v>ON Pyme</v>
      </c>
    </row>
    <row r="538" spans="1:15" ht="15.95" customHeight="1" x14ac:dyDescent="0.25">
      <c r="A538" s="121"/>
      <c r="B538" s="26"/>
      <c r="C538" s="85"/>
      <c r="D538" s="27"/>
      <c r="E538" s="27"/>
      <c r="F538" s="27"/>
      <c r="G538" s="91"/>
      <c r="H538" s="27"/>
      <c r="I538" s="27"/>
      <c r="J538" s="27"/>
      <c r="K538" s="27"/>
      <c r="L538" s="27"/>
      <c r="M538" s="27"/>
      <c r="N538" s="28"/>
    </row>
    <row r="539" spans="1:15" ht="15.95" customHeight="1" x14ac:dyDescent="0.25">
      <c r="A539" s="121"/>
      <c r="B539" s="23"/>
      <c r="C539" s="24"/>
      <c r="D539" s="24"/>
      <c r="E539" s="24"/>
      <c r="F539" s="24"/>
      <c r="G539" s="24"/>
      <c r="H539" s="24"/>
      <c r="I539" s="24"/>
      <c r="J539" s="24"/>
      <c r="K539" s="24"/>
      <c r="L539" s="24"/>
      <c r="M539" s="24"/>
      <c r="N539" s="25"/>
      <c r="O539" s="194" t="str">
        <f>+IF(J616="vencida",IF(D618='Reporte - Oscuro'!$C$40,'Reporte - Oscuro'!$C$40&amp;" vencida",IF(D618='Reporte - Oscuro'!$C$41,'Reporte - Oscuro'!$C$41&amp;" vencida",IF(D618='Reporte - Oscuro'!$C$42,'Reporte - Oscuro'!$C$42&amp;" vencida",'Reporte - Oscuro'!$C$43&amp;" vencida"))),D618&amp;" vigente")</f>
        <v>ON Pyme vencida</v>
      </c>
    </row>
    <row r="540" spans="1:15" ht="15.95" customHeight="1" x14ac:dyDescent="0.25">
      <c r="A540" s="121"/>
      <c r="B540" s="683" t="s">
        <v>147</v>
      </c>
      <c r="C540" s="684"/>
      <c r="D540" s="684"/>
      <c r="E540" s="684"/>
      <c r="F540" s="684"/>
      <c r="G540" s="684"/>
      <c r="H540" s="684"/>
      <c r="I540" s="684"/>
      <c r="J540" s="684"/>
      <c r="K540" s="684"/>
      <c r="L540" s="684"/>
      <c r="M540" s="684"/>
      <c r="N540" s="685"/>
    </row>
    <row r="541" spans="1:15" ht="15.95" customHeight="1" x14ac:dyDescent="0.25">
      <c r="A541" s="121"/>
      <c r="B541" s="23"/>
      <c r="C541" s="24"/>
      <c r="D541" s="24"/>
      <c r="E541" s="24"/>
      <c r="F541" s="31"/>
      <c r="G541" s="87"/>
      <c r="H541" s="31"/>
      <c r="I541" s="31"/>
      <c r="J541" s="24"/>
      <c r="K541" s="24"/>
      <c r="L541" s="24"/>
      <c r="M541" s="24"/>
      <c r="N541" s="25"/>
    </row>
    <row r="542" spans="1:15" ht="15.95" customHeight="1" x14ac:dyDescent="0.25">
      <c r="A542" s="121"/>
      <c r="B542" s="23"/>
      <c r="C542" s="638" t="s">
        <v>37</v>
      </c>
      <c r="D542" s="639"/>
      <c r="E542" s="640"/>
      <c r="F542" s="31"/>
      <c r="G542" s="87"/>
      <c r="H542" s="641" t="s">
        <v>28</v>
      </c>
      <c r="I542" s="642"/>
      <c r="J542" s="39">
        <f>+$D$563-SUMIF($H$548:$H$556,"&lt;"&amp;$M$4,$K$548:$K$556)</f>
        <v>0</v>
      </c>
      <c r="K542" s="24"/>
      <c r="L542" s="24"/>
      <c r="M542" s="24"/>
      <c r="N542" s="25"/>
    </row>
    <row r="543" spans="1:15" ht="15.95" customHeight="1" x14ac:dyDescent="0.25">
      <c r="A543" s="121"/>
      <c r="B543" s="23"/>
      <c r="C543" s="58"/>
      <c r="D543" s="664"/>
      <c r="E543" s="665"/>
      <c r="F543" s="31"/>
      <c r="G543" s="87"/>
      <c r="H543" s="645" t="s">
        <v>29</v>
      </c>
      <c r="I543" s="646"/>
      <c r="J543" s="40">
        <f>+$D$562</f>
        <v>44211</v>
      </c>
      <c r="K543" s="24"/>
      <c r="L543" s="24"/>
      <c r="M543" s="24"/>
      <c r="N543" s="25"/>
    </row>
    <row r="544" spans="1:15" ht="15.95" customHeight="1" x14ac:dyDescent="0.25">
      <c r="A544" s="121"/>
      <c r="B544" s="23"/>
      <c r="C544" s="59" t="s">
        <v>25</v>
      </c>
      <c r="D544" s="681"/>
      <c r="E544" s="682"/>
      <c r="F544" s="31"/>
      <c r="G544" s="87"/>
      <c r="H544" s="649" t="s">
        <v>30</v>
      </c>
      <c r="I544" s="650"/>
      <c r="J544" s="42" t="str">
        <f t="array" ref="J544">+IF(H555&gt;=M4,MIN(IF($H$548:$H$556&gt;$M$4,$H$548:$H$556,"")),"vencida")</f>
        <v>vencida</v>
      </c>
      <c r="K544" s="24"/>
      <c r="L544" s="24"/>
      <c r="M544" s="24"/>
      <c r="N544" s="25"/>
      <c r="O544" s="97">
        <f>+M621</f>
        <v>-5000000</v>
      </c>
    </row>
    <row r="545" spans="1:15" ht="15.95" customHeight="1" x14ac:dyDescent="0.25">
      <c r="A545" s="121"/>
      <c r="B545" s="23"/>
      <c r="C545" s="59" t="s">
        <v>6</v>
      </c>
      <c r="D545" s="681" t="s">
        <v>95</v>
      </c>
      <c r="E545" s="682"/>
      <c r="F545" s="31"/>
      <c r="G545" s="87"/>
      <c r="H545" s="24"/>
      <c r="I545" s="24"/>
      <c r="J545" s="24"/>
      <c r="K545" s="24"/>
      <c r="L545" s="24"/>
      <c r="M545" s="24"/>
      <c r="N545" s="25"/>
      <c r="O545" s="97">
        <f t="shared" ref="O545:O552" si="46">+M622+O544</f>
        <v>-4813013.6986301374</v>
      </c>
    </row>
    <row r="546" spans="1:15" ht="15.95" customHeight="1" x14ac:dyDescent="0.25">
      <c r="A546" s="121"/>
      <c r="B546" s="23"/>
      <c r="C546" s="59" t="s">
        <v>8</v>
      </c>
      <c r="D546" s="681" t="s">
        <v>17</v>
      </c>
      <c r="E546" s="682"/>
      <c r="F546" s="31"/>
      <c r="G546" s="87"/>
      <c r="H546" s="677" t="s">
        <v>41</v>
      </c>
      <c r="I546" s="678"/>
      <c r="J546" s="678"/>
      <c r="K546" s="678"/>
      <c r="L546" s="679"/>
      <c r="M546" s="24"/>
      <c r="N546" s="25"/>
      <c r="O546" s="97">
        <f t="shared" si="46"/>
        <v>-4625000</v>
      </c>
    </row>
    <row r="547" spans="1:15" ht="15.95" customHeight="1" x14ac:dyDescent="0.25">
      <c r="A547" s="121"/>
      <c r="B547" s="23"/>
      <c r="C547" s="59" t="s">
        <v>33</v>
      </c>
      <c r="D547" s="132" t="s">
        <v>293</v>
      </c>
      <c r="E547" s="274">
        <v>0.4</v>
      </c>
      <c r="F547" s="281">
        <f>+E547*$J$542</f>
        <v>0</v>
      </c>
      <c r="G547" s="87"/>
      <c r="H547" s="146" t="s">
        <v>0</v>
      </c>
      <c r="I547" s="147" t="s">
        <v>2</v>
      </c>
      <c r="J547" s="147" t="s">
        <v>3</v>
      </c>
      <c r="K547" s="147" t="s">
        <v>4</v>
      </c>
      <c r="L547" s="148" t="s">
        <v>5</v>
      </c>
      <c r="M547" s="148" t="s">
        <v>44</v>
      </c>
      <c r="N547" s="25"/>
      <c r="O547" s="97">
        <f t="shared" si="46"/>
        <v>-3688013.6986301369</v>
      </c>
    </row>
    <row r="548" spans="1:15" ht="15.95" customHeight="1" x14ac:dyDescent="0.25">
      <c r="A548" s="121"/>
      <c r="B548" s="23"/>
      <c r="C548" s="278" t="s">
        <v>33</v>
      </c>
      <c r="D548" s="132" t="s">
        <v>297</v>
      </c>
      <c r="E548" s="274">
        <v>0.6</v>
      </c>
      <c r="F548" s="281">
        <f>+E548*$J$542</f>
        <v>0</v>
      </c>
      <c r="G548" s="87"/>
      <c r="H548" s="45"/>
      <c r="I548" s="46"/>
      <c r="J548" s="46"/>
      <c r="K548" s="46"/>
      <c r="L548" s="47"/>
      <c r="M548" s="101"/>
      <c r="N548" s="25"/>
      <c r="O548" s="97">
        <f t="shared" si="46"/>
        <v>-2776455.4794520549</v>
      </c>
    </row>
    <row r="549" spans="1:15" ht="15.95" customHeight="1" x14ac:dyDescent="0.25">
      <c r="A549" s="121"/>
      <c r="B549" s="23"/>
      <c r="C549" s="59" t="s">
        <v>34</v>
      </c>
      <c r="D549" s="681" t="s">
        <v>48</v>
      </c>
      <c r="E549" s="682"/>
      <c r="F549" s="31"/>
      <c r="G549" s="87"/>
      <c r="H549" s="48">
        <f>+$D$561</f>
        <v>43115</v>
      </c>
      <c r="I549" s="136"/>
      <c r="J549" s="49"/>
      <c r="K549" s="49"/>
      <c r="L549" s="50">
        <f>+D563</f>
        <v>550000</v>
      </c>
      <c r="M549" s="102">
        <f>-L549</f>
        <v>-550000</v>
      </c>
      <c r="N549" s="25"/>
      <c r="O549" s="97">
        <f t="shared" si="46"/>
        <v>-1895565.0684931509</v>
      </c>
    </row>
    <row r="550" spans="1:15" ht="15.95" customHeight="1" x14ac:dyDescent="0.25">
      <c r="A550" s="121"/>
      <c r="B550" s="23"/>
      <c r="C550" s="79" t="s">
        <v>38</v>
      </c>
      <c r="D550" s="130"/>
      <c r="E550" s="131"/>
      <c r="F550" s="31"/>
      <c r="G550" s="87"/>
      <c r="H550" s="51">
        <f>IF(DAY(H549)=DAY($H$549),IF(WEEKDAY(EDATE(H549,$D$564),3)&lt;5,EDATE(H549,$D$564),WORKDAY(EDATE(H549,$D$564),1)),IF(WEEKDAY(EDATE($H$549,$D$564*COUNT($H$549:H549)),3)&lt;5,EDATE($H$549,$D$564*COUNT($H$549:H549)),WORKDAY(EDATE($H$549,$D$564*COUNT($H$549:H549)),1)))</f>
        <v>43297</v>
      </c>
      <c r="I550" s="137" t="s">
        <v>7</v>
      </c>
      <c r="J550" s="52">
        <f t="shared" ref="J550:J555" si="47">+(($D$566/365)*(H550-H549))*L549</f>
        <v>19471.506849315065</v>
      </c>
      <c r="K550" s="52">
        <f>+IF(OR(I550="A + C",I550="A"),$L$549*$D$567,0)</f>
        <v>0</v>
      </c>
      <c r="L550" s="53">
        <f t="shared" ref="L550:L555" si="48">+L549-K550</f>
        <v>550000</v>
      </c>
      <c r="M550" s="103">
        <f t="shared" ref="M550:M555" si="49">+J550+K550</f>
        <v>19471.506849315065</v>
      </c>
      <c r="N550" s="25"/>
      <c r="O550" s="97">
        <f t="shared" si="46"/>
        <v>-1042722.6027397262</v>
      </c>
    </row>
    <row r="551" spans="1:15" ht="15.95" customHeight="1" x14ac:dyDescent="0.25">
      <c r="A551" s="121"/>
      <c r="B551" s="23"/>
      <c r="C551" s="59"/>
      <c r="D551" s="132"/>
      <c r="E551" s="133"/>
      <c r="F551" s="34"/>
      <c r="G551" s="88"/>
      <c r="H551" s="51">
        <f>IF(DAY(H550)=DAY($H$549),IF(WEEKDAY(EDATE(H550,$D$564),3)&lt;5,EDATE(H550,$D$564),WORKDAY(EDATE(H550,$D$564),1)),IF(WEEKDAY(EDATE($H$549,$D$564*COUNT($H$549:H550)),3)&lt;5,EDATE($H$549,$D$564*COUNT($H$549:H550)),WORKDAY(EDATE($H$549,$D$564*COUNT($H$549:H550)),1)))</f>
        <v>43480</v>
      </c>
      <c r="I551" s="137" t="s">
        <v>7</v>
      </c>
      <c r="J551" s="52">
        <f t="shared" si="47"/>
        <v>19578.493150684932</v>
      </c>
      <c r="K551" s="52">
        <f>+IF(OR(I551="A + C",I551="A"),$D$563*$D$567,0)</f>
        <v>0</v>
      </c>
      <c r="L551" s="53">
        <f t="shared" si="48"/>
        <v>550000</v>
      </c>
      <c r="M551" s="103">
        <f t="shared" si="49"/>
        <v>19578.493150684932</v>
      </c>
      <c r="N551" s="25"/>
      <c r="O551" s="97">
        <f t="shared" si="46"/>
        <v>32071.917808219092</v>
      </c>
    </row>
    <row r="552" spans="1:15" ht="15.95" customHeight="1" x14ac:dyDescent="0.25">
      <c r="A552" s="121"/>
      <c r="B552" s="23"/>
      <c r="C552" s="60"/>
      <c r="D552" s="134"/>
      <c r="E552" s="135"/>
      <c r="F552" s="34"/>
      <c r="G552" s="88"/>
      <c r="H552" s="51">
        <f>IF(DAY(H551)=DAY($H$549),IF(WEEKDAY(EDATE(H551,$D$564),3)&lt;5,EDATE(H551,$D$564),WORKDAY(EDATE(H551,$D$564),1)),IF(WEEKDAY(EDATE($H$549,$D$564*COUNT($H$549:H551)),3)&lt;5,EDATE($H$549,$D$564*COUNT($H$549:H551)),WORKDAY(EDATE($H$549,$D$564*COUNT($H$549:H551)),1)))</f>
        <v>43661</v>
      </c>
      <c r="I552" s="137" t="s">
        <v>13</v>
      </c>
      <c r="J552" s="52">
        <f t="shared" si="47"/>
        <v>19364.520547945202</v>
      </c>
      <c r="K552" s="52">
        <f>+IF(OR(I552="A + C",I552="A"),$D$563*$D$567,0)</f>
        <v>110000</v>
      </c>
      <c r="L552" s="53">
        <f t="shared" si="48"/>
        <v>440000</v>
      </c>
      <c r="M552" s="103">
        <f t="shared" si="49"/>
        <v>129364.5205479452</v>
      </c>
      <c r="N552" s="25"/>
      <c r="O552" s="97">
        <f t="shared" si="46"/>
        <v>1069674.6575342463</v>
      </c>
    </row>
    <row r="553" spans="1:15" ht="15.95" customHeight="1" x14ac:dyDescent="0.25">
      <c r="A553" s="121"/>
      <c r="B553" s="32"/>
      <c r="C553" s="60"/>
      <c r="D553" s="61" t="str">
        <f>B540</f>
        <v>Desarrollo Nazareno I</v>
      </c>
      <c r="E553" s="270"/>
      <c r="F553" s="34"/>
      <c r="G553" s="88">
        <f>J542</f>
        <v>0</v>
      </c>
      <c r="H553" s="51">
        <f>IF(DAY(H552)=DAY($H$549),IF(WEEKDAY(EDATE(H552,$D$564),3)&lt;5,EDATE(H552,$D$564),WORKDAY(EDATE(H552,$D$564),1)),IF(WEEKDAY(EDATE($H$549,$D$564*COUNT($H$549:H552)),3)&lt;5,EDATE($H$549,$D$564*COUNT($H$549:H552)),WORKDAY(EDATE($H$549,$D$564*COUNT($H$549:H552)),1)))</f>
        <v>43845</v>
      </c>
      <c r="I553" s="137" t="s">
        <v>13</v>
      </c>
      <c r="J553" s="52">
        <f t="shared" si="47"/>
        <v>15748.383561643835</v>
      </c>
      <c r="K553" s="52">
        <f>+IF(OR(I553="A + C",I553="A"),$D$563*$D$567,0)</f>
        <v>110000</v>
      </c>
      <c r="L553" s="53">
        <f t="shared" si="48"/>
        <v>330000</v>
      </c>
      <c r="M553" s="103">
        <f t="shared" si="49"/>
        <v>125748.38356164383</v>
      </c>
      <c r="N553" s="25"/>
    </row>
    <row r="554" spans="1:15" ht="15.95" customHeight="1" x14ac:dyDescent="0.25">
      <c r="A554" s="121"/>
      <c r="B554" s="23"/>
      <c r="D554" s="271"/>
      <c r="E554" s="272"/>
      <c r="F554" s="34"/>
      <c r="G554" s="88"/>
      <c r="H554" s="51">
        <f>IF(DAY(H553)=DAY($H$549),IF(WEEKDAY(EDATE(H553,$D$564),3)&lt;5,EDATE(H553,$D$564),WORKDAY(EDATE(H553,$D$564),1)),IF(WEEKDAY(EDATE($H$549,$D$564*COUNT($H$549:H553)),3)&lt;5,EDATE($H$549,$D$564*COUNT($H$549:H553)),WORKDAY(EDATE($H$549,$D$564*COUNT($H$549:H553)),1)))</f>
        <v>44027</v>
      </c>
      <c r="I554" s="137" t="s">
        <v>13</v>
      </c>
      <c r="J554" s="52">
        <f t="shared" si="47"/>
        <v>11682.904109589041</v>
      </c>
      <c r="K554" s="52">
        <f>+IF(OR(I554="A + C",I554="A"),$D$563*$D$568,0)</f>
        <v>165000</v>
      </c>
      <c r="L554" s="53">
        <f t="shared" si="48"/>
        <v>165000</v>
      </c>
      <c r="M554" s="103">
        <f t="shared" si="49"/>
        <v>176682.90410958903</v>
      </c>
      <c r="N554" s="25"/>
    </row>
    <row r="555" spans="1:15" ht="15.95" customHeight="1" x14ac:dyDescent="0.25">
      <c r="A555" s="121"/>
      <c r="B555" s="23"/>
      <c r="C555" s="268" t="s">
        <v>36</v>
      </c>
      <c r="D555" s="269"/>
      <c r="E555" s="36"/>
      <c r="F555" s="36"/>
      <c r="G555" s="89"/>
      <c r="H555" s="51">
        <f>IF(DAY(H554)=DAY($H$549),IF(WEEKDAY(EDATE(H554,$D$564),3)&lt;5,EDATE(H554,$D$564),WORKDAY(EDATE(H554,$D$564),1)),IF(WEEKDAY(EDATE($H$549,$D$564*COUNT($H$549:H554)),3)&lt;5,EDATE($H$549,$D$564*COUNT($H$549:H554)),WORKDAY(EDATE($H$549,$D$564*COUNT($H$549:H554)),1)))</f>
        <v>44211</v>
      </c>
      <c r="I555" s="137" t="s">
        <v>13</v>
      </c>
      <c r="J555" s="52">
        <f t="shared" si="47"/>
        <v>5905.6438356164381</v>
      </c>
      <c r="K555" s="52">
        <f>+IF(OR(I555="A + C",I555="A"),$D$563*$D$568,0)</f>
        <v>165000</v>
      </c>
      <c r="L555" s="53">
        <f t="shared" si="48"/>
        <v>0</v>
      </c>
      <c r="M555" s="103">
        <f t="shared" si="49"/>
        <v>170905.64383561644</v>
      </c>
      <c r="N555" s="25"/>
    </row>
    <row r="556" spans="1:15" ht="15.95" customHeight="1" x14ac:dyDescent="0.25">
      <c r="A556" s="121"/>
      <c r="B556" s="23"/>
      <c r="C556" s="59"/>
      <c r="D556" s="62"/>
      <c r="E556" s="36"/>
      <c r="F556" s="36"/>
      <c r="G556" s="89"/>
      <c r="H556" s="54"/>
      <c r="I556" s="144"/>
      <c r="J556" s="55"/>
      <c r="K556" s="56"/>
      <c r="L556" s="57"/>
      <c r="M556" s="108"/>
      <c r="N556" s="25"/>
    </row>
    <row r="557" spans="1:15" ht="15.95" customHeight="1" x14ac:dyDescent="0.25">
      <c r="A557" s="121"/>
      <c r="B557" s="23"/>
      <c r="C557" s="59" t="s">
        <v>9</v>
      </c>
      <c r="D557" s="129" t="s">
        <v>49</v>
      </c>
      <c r="E557" s="36"/>
      <c r="F557" s="36"/>
      <c r="G557" s="89"/>
      <c r="H557" s="24"/>
      <c r="I557" s="24"/>
      <c r="J557" s="24"/>
      <c r="K557" s="24"/>
      <c r="L557" s="24"/>
      <c r="M557" s="24"/>
      <c r="N557" s="25"/>
    </row>
    <row r="558" spans="1:15" ht="15.95" customHeight="1" x14ac:dyDescent="0.25">
      <c r="A558" s="121"/>
      <c r="B558" s="23"/>
      <c r="C558" s="59" t="s">
        <v>51</v>
      </c>
      <c r="D558" s="138" t="s">
        <v>18</v>
      </c>
      <c r="E558" s="36"/>
      <c r="F558" s="36"/>
      <c r="G558" s="89"/>
      <c r="H558" s="680" t="s">
        <v>43</v>
      </c>
      <c r="I558" s="680"/>
      <c r="J558" s="92">
        <v>0</v>
      </c>
      <c r="K558" s="92"/>
      <c r="L558" s="24"/>
      <c r="M558" s="24"/>
      <c r="N558" s="25"/>
    </row>
    <row r="559" spans="1:15" ht="15.95" customHeight="1" x14ac:dyDescent="0.25">
      <c r="A559" s="121"/>
      <c r="B559" s="23"/>
      <c r="C559" s="59" t="s">
        <v>52</v>
      </c>
      <c r="D559" s="138" t="s">
        <v>18</v>
      </c>
      <c r="E559" s="36"/>
      <c r="F559" s="36"/>
      <c r="G559" s="89"/>
      <c r="H559" s="657"/>
      <c r="I559" s="657"/>
      <c r="J559" s="392"/>
      <c r="K559" s="24"/>
      <c r="L559" s="33"/>
      <c r="M559" s="33"/>
      <c r="N559" s="25"/>
    </row>
    <row r="560" spans="1:15" ht="15.95" customHeight="1" x14ac:dyDescent="0.25">
      <c r="A560" s="121"/>
      <c r="B560" s="23"/>
      <c r="C560" s="59" t="s">
        <v>10</v>
      </c>
      <c r="D560" s="139">
        <v>43111</v>
      </c>
      <c r="E560" s="36"/>
      <c r="F560" s="24"/>
      <c r="G560" s="90"/>
      <c r="H560" s="24"/>
      <c r="I560" s="24"/>
      <c r="J560" s="24"/>
      <c r="K560" s="24"/>
      <c r="L560" s="24"/>
      <c r="M560" s="24"/>
      <c r="N560" s="25"/>
    </row>
    <row r="561" spans="1:15" ht="15.95" customHeight="1" x14ac:dyDescent="0.25">
      <c r="A561" s="121"/>
      <c r="B561" s="23"/>
      <c r="C561" s="59" t="s">
        <v>11</v>
      </c>
      <c r="D561" s="139">
        <v>43115</v>
      </c>
      <c r="E561" s="41"/>
      <c r="F561" s="24"/>
      <c r="G561" s="90"/>
      <c r="H561" s="638" t="s">
        <v>44</v>
      </c>
      <c r="I561" s="639"/>
      <c r="J561" s="639"/>
      <c r="K561" s="639"/>
      <c r="L561" s="639"/>
      <c r="M561" s="640"/>
      <c r="N561" s="25"/>
    </row>
    <row r="562" spans="1:15" ht="15.95" customHeight="1" x14ac:dyDescent="0.25">
      <c r="A562" s="121"/>
      <c r="B562" s="23"/>
      <c r="C562" s="59" t="s">
        <v>12</v>
      </c>
      <c r="D562" s="139">
        <v>44211</v>
      </c>
      <c r="E562" s="36"/>
      <c r="F562" s="24"/>
      <c r="G562" s="90"/>
      <c r="H562" s="23"/>
      <c r="I562" s="24"/>
      <c r="J562" s="24"/>
      <c r="K562" s="24"/>
      <c r="L562" s="24"/>
      <c r="M562" s="25"/>
      <c r="N562" s="25"/>
    </row>
    <row r="563" spans="1:15" ht="15.95" customHeight="1" x14ac:dyDescent="0.25">
      <c r="A563" s="121"/>
      <c r="B563" s="23"/>
      <c r="C563" s="59" t="s">
        <v>27</v>
      </c>
      <c r="D563" s="140">
        <v>550000</v>
      </c>
      <c r="E563" s="43"/>
      <c r="F563" s="24"/>
      <c r="G563" s="90"/>
      <c r="H563" s="23"/>
      <c r="I563" s="24"/>
      <c r="J563" s="24"/>
      <c r="K563" s="24"/>
      <c r="L563" s="24"/>
      <c r="M563" s="25"/>
      <c r="N563" s="25"/>
    </row>
    <row r="564" spans="1:15" ht="15.95" customHeight="1" x14ac:dyDescent="0.25">
      <c r="A564" s="121"/>
      <c r="B564" s="23"/>
      <c r="C564" s="59" t="s">
        <v>26</v>
      </c>
      <c r="D564" s="140">
        <v>6</v>
      </c>
      <c r="E564" s="43"/>
      <c r="F564" s="24"/>
      <c r="G564" s="90"/>
      <c r="H564" s="96"/>
      <c r="I564" s="35"/>
      <c r="J564" s="24"/>
      <c r="K564" s="24"/>
      <c r="L564" s="24"/>
      <c r="M564" s="25"/>
      <c r="N564" s="25"/>
    </row>
    <row r="565" spans="1:15" ht="15.95" customHeight="1" x14ac:dyDescent="0.25">
      <c r="A565" s="121"/>
      <c r="B565" s="23"/>
      <c r="C565" s="59" t="s">
        <v>19</v>
      </c>
      <c r="D565" s="141" t="s">
        <v>50</v>
      </c>
      <c r="E565" s="43"/>
      <c r="F565" s="24"/>
      <c r="G565" s="90"/>
      <c r="H565" s="23"/>
      <c r="I565" s="24"/>
      <c r="J565" s="24"/>
      <c r="K565" s="24"/>
      <c r="L565" s="24"/>
      <c r="M565" s="25"/>
      <c r="N565" s="25"/>
    </row>
    <row r="566" spans="1:15" ht="15.95" customHeight="1" x14ac:dyDescent="0.25">
      <c r="A566" s="121"/>
      <c r="B566" s="23"/>
      <c r="C566" s="59" t="s">
        <v>14</v>
      </c>
      <c r="D566" s="142">
        <v>7.0999999999999994E-2</v>
      </c>
      <c r="E566" s="44"/>
      <c r="F566" s="24"/>
      <c r="G566" s="90"/>
      <c r="H566" s="23"/>
      <c r="I566" s="24"/>
      <c r="J566" s="24"/>
      <c r="K566" s="24"/>
      <c r="L566" s="24"/>
      <c r="M566" s="25"/>
      <c r="N566" s="25"/>
    </row>
    <row r="567" spans="1:15" ht="15.95" customHeight="1" x14ac:dyDescent="0.25">
      <c r="A567" s="121"/>
      <c r="B567" s="23"/>
      <c r="C567" s="59" t="s">
        <v>81</v>
      </c>
      <c r="D567" s="143">
        <v>0.2</v>
      </c>
      <c r="E567" s="24"/>
      <c r="F567" s="24"/>
      <c r="G567" s="90"/>
      <c r="H567" s="23"/>
      <c r="I567" s="24"/>
      <c r="J567" s="24"/>
      <c r="K567" s="24"/>
      <c r="L567" s="24"/>
      <c r="M567" s="25"/>
      <c r="N567" s="25"/>
    </row>
    <row r="568" spans="1:15" ht="15.95" customHeight="1" x14ac:dyDescent="0.25">
      <c r="A568" s="121"/>
      <c r="B568" s="23"/>
      <c r="C568" s="59" t="s">
        <v>81</v>
      </c>
      <c r="D568" s="143">
        <v>0.3</v>
      </c>
      <c r="E568" s="24"/>
      <c r="F568" s="24"/>
      <c r="G568" s="90"/>
      <c r="H568" s="23"/>
      <c r="I568" s="24"/>
      <c r="J568" s="24"/>
      <c r="K568" s="24"/>
      <c r="L568" s="24"/>
      <c r="M568" s="25"/>
      <c r="N568" s="25"/>
    </row>
    <row r="569" spans="1:15" ht="15.95" customHeight="1" x14ac:dyDescent="0.25">
      <c r="A569" s="121"/>
      <c r="B569" s="23"/>
      <c r="C569" s="60"/>
      <c r="D569" s="149"/>
      <c r="E569" s="24"/>
      <c r="F569" s="24"/>
      <c r="G569" s="90"/>
      <c r="H569" s="23"/>
      <c r="I569" s="24"/>
      <c r="J569" s="24"/>
      <c r="K569" s="24"/>
      <c r="L569" s="24"/>
      <c r="M569" s="25"/>
      <c r="N569" s="25"/>
    </row>
    <row r="570" spans="1:15" ht="15.95" customHeight="1" x14ac:dyDescent="0.25">
      <c r="A570" s="121"/>
      <c r="B570" s="23"/>
      <c r="C570" s="24"/>
      <c r="D570" s="24"/>
      <c r="E570" s="24"/>
      <c r="F570" s="24"/>
      <c r="G570" s="90"/>
      <c r="H570" s="23"/>
      <c r="I570" s="24"/>
      <c r="J570" s="24"/>
      <c r="K570" s="24"/>
      <c r="L570" s="24"/>
      <c r="M570" s="25"/>
      <c r="N570" s="25"/>
    </row>
    <row r="571" spans="1:15" ht="20.100000000000001" customHeight="1" x14ac:dyDescent="0.25">
      <c r="A571" s="121"/>
      <c r="B571" s="23"/>
      <c r="C571" s="24"/>
      <c r="D571" s="24"/>
      <c r="E571" s="24"/>
      <c r="F571" s="24"/>
      <c r="G571" s="90"/>
      <c r="H571" s="23"/>
      <c r="I571" s="24"/>
      <c r="J571" s="24"/>
      <c r="K571" s="24"/>
      <c r="L571" s="24"/>
      <c r="M571" s="25"/>
      <c r="N571" s="25"/>
    </row>
    <row r="572" spans="1:15" ht="15.95" customHeight="1" x14ac:dyDescent="0.25">
      <c r="A572" s="121"/>
      <c r="B572" s="23"/>
      <c r="C572" s="24"/>
      <c r="D572" s="24"/>
      <c r="E572" s="24"/>
      <c r="F572" s="24"/>
      <c r="G572" s="90"/>
      <c r="H572" s="23"/>
      <c r="I572" s="24"/>
      <c r="J572" s="24"/>
      <c r="K572" s="24"/>
      <c r="L572" s="24"/>
      <c r="M572" s="25"/>
      <c r="N572" s="25"/>
    </row>
    <row r="573" spans="1:15" ht="15.95" customHeight="1" x14ac:dyDescent="0.25">
      <c r="A573" s="121"/>
      <c r="B573" s="23"/>
      <c r="C573" s="24"/>
      <c r="D573" s="24"/>
      <c r="E573" s="24"/>
      <c r="F573" s="24"/>
      <c r="G573" s="90"/>
      <c r="H573" s="26"/>
      <c r="I573" s="27"/>
      <c r="J573" s="27"/>
      <c r="K573" s="27"/>
      <c r="L573" s="27"/>
      <c r="M573" s="28"/>
      <c r="N573" s="25"/>
      <c r="O573" s="194" t="str">
        <f>+D693</f>
        <v>ON Pyme CNV Garantizada</v>
      </c>
    </row>
    <row r="574" spans="1:15" ht="15.95" customHeight="1" x14ac:dyDescent="0.25">
      <c r="A574" s="121"/>
      <c r="B574" s="26"/>
      <c r="C574" s="85"/>
      <c r="D574" s="27"/>
      <c r="E574" s="27"/>
      <c r="F574" s="27"/>
      <c r="G574" s="91"/>
      <c r="H574" s="27"/>
      <c r="I574" s="27"/>
      <c r="J574" s="27"/>
      <c r="K574" s="27"/>
      <c r="L574" s="27"/>
      <c r="M574" s="27"/>
      <c r="N574" s="28"/>
    </row>
    <row r="575" spans="1:15" ht="15.95" customHeight="1" x14ac:dyDescent="0.25">
      <c r="A575" s="121"/>
      <c r="B575" s="23"/>
      <c r="C575" s="24"/>
      <c r="D575" s="24"/>
      <c r="E575" s="24"/>
      <c r="F575" s="24"/>
      <c r="G575" s="24"/>
      <c r="H575" s="24"/>
      <c r="I575" s="24"/>
      <c r="J575" s="24"/>
      <c r="K575" s="24"/>
      <c r="L575" s="24"/>
      <c r="M575" s="24"/>
      <c r="N575" s="25"/>
      <c r="O575" s="194" t="str">
        <f>+IF(J691="vencida",IF(D693='Reporte - Oscuro'!$C$40,'Reporte - Oscuro'!$C$40&amp;" vencida",IF(D693='Reporte - Oscuro'!$C$41,'Reporte - Oscuro'!$C$41&amp;" vencida",IF(D693='Reporte - Oscuro'!$C$42,'Reporte - Oscuro'!$C$42&amp;" vencida",'Reporte - Oscuro'!$C$43&amp;" vencida"))),D693&amp;" vigente")</f>
        <v>ON Pyme CNV Garantizada vencida</v>
      </c>
    </row>
    <row r="576" spans="1:15" ht="15.95" customHeight="1" x14ac:dyDescent="0.25">
      <c r="A576" s="121"/>
      <c r="B576" s="683" t="s">
        <v>148</v>
      </c>
      <c r="C576" s="684"/>
      <c r="D576" s="684"/>
      <c r="E576" s="684"/>
      <c r="F576" s="684"/>
      <c r="G576" s="684"/>
      <c r="H576" s="684"/>
      <c r="I576" s="684"/>
      <c r="J576" s="684"/>
      <c r="K576" s="684"/>
      <c r="L576" s="684"/>
      <c r="M576" s="684"/>
      <c r="N576" s="685"/>
    </row>
    <row r="577" spans="1:15" ht="15.95" customHeight="1" x14ac:dyDescent="0.25">
      <c r="A577" s="121"/>
      <c r="B577" s="23"/>
      <c r="C577" s="24"/>
      <c r="D577" s="24"/>
      <c r="E577" s="24"/>
      <c r="F577" s="31"/>
      <c r="G577" s="87"/>
      <c r="H577" s="31"/>
      <c r="I577" s="31"/>
      <c r="J577" s="24"/>
      <c r="K577" s="24"/>
      <c r="L577" s="24"/>
      <c r="M577" s="24"/>
      <c r="N577" s="25"/>
    </row>
    <row r="578" spans="1:15" ht="15.95" customHeight="1" x14ac:dyDescent="0.25">
      <c r="A578" s="121"/>
      <c r="B578" s="23"/>
      <c r="C578" s="638" t="s">
        <v>37</v>
      </c>
      <c r="D578" s="639"/>
      <c r="E578" s="640"/>
      <c r="F578" s="31"/>
      <c r="G578" s="87"/>
      <c r="H578" s="641" t="s">
        <v>28</v>
      </c>
      <c r="I578" s="642"/>
      <c r="J578" s="39">
        <f>+$D$598-SUMIF($H$584:$H$592,"&lt;"&amp;$M$4,$K$584:$K$592)</f>
        <v>0</v>
      </c>
      <c r="K578" s="24"/>
      <c r="L578" s="24"/>
      <c r="M578" s="24"/>
      <c r="N578" s="25"/>
    </row>
    <row r="579" spans="1:15" ht="15.95" customHeight="1" x14ac:dyDescent="0.25">
      <c r="A579" s="121"/>
      <c r="B579" s="23"/>
      <c r="C579" s="58"/>
      <c r="D579" s="664"/>
      <c r="E579" s="665"/>
      <c r="F579" s="31"/>
      <c r="G579" s="87"/>
      <c r="H579" s="645" t="s">
        <v>29</v>
      </c>
      <c r="I579" s="646"/>
      <c r="J579" s="40">
        <f>+$D$597</f>
        <v>44410</v>
      </c>
      <c r="K579" s="24"/>
      <c r="L579" s="24"/>
      <c r="M579" s="24"/>
      <c r="N579" s="25"/>
    </row>
    <row r="580" spans="1:15" ht="15.95" customHeight="1" x14ac:dyDescent="0.25">
      <c r="A580" s="121"/>
      <c r="B580" s="23"/>
      <c r="C580" s="59" t="s">
        <v>25</v>
      </c>
      <c r="D580" s="681"/>
      <c r="E580" s="682"/>
      <c r="F580" s="31"/>
      <c r="G580" s="87"/>
      <c r="H580" s="649" t="s">
        <v>30</v>
      </c>
      <c r="I580" s="650"/>
      <c r="J580" s="42" t="str">
        <f t="array" ref="J580">+IF(H591&gt;=M4,MIN(IF($H$584:$H$592&gt;$M$4,$H$584:$H$592,"")),"vencida")</f>
        <v>vencida</v>
      </c>
      <c r="K580" s="24"/>
      <c r="L580" s="24"/>
      <c r="M580" s="24"/>
      <c r="N580" s="25"/>
      <c r="O580" s="97">
        <f>+M696</f>
        <v>-145000</v>
      </c>
    </row>
    <row r="581" spans="1:15" ht="15.95" customHeight="1" x14ac:dyDescent="0.25">
      <c r="A581" s="121"/>
      <c r="B581" s="23"/>
      <c r="C581" s="59" t="s">
        <v>6</v>
      </c>
      <c r="D581" s="681" t="s">
        <v>273</v>
      </c>
      <c r="E581" s="682"/>
      <c r="F581" s="31"/>
      <c r="G581" s="87"/>
      <c r="H581" s="24"/>
      <c r="I581" s="24"/>
      <c r="J581" s="24"/>
      <c r="K581" s="24"/>
      <c r="L581" s="24"/>
      <c r="M581" s="24"/>
      <c r="N581" s="25"/>
      <c r="O581" s="97">
        <f>+M697+O580</f>
        <v>-102683.04109589041</v>
      </c>
    </row>
    <row r="582" spans="1:15" ht="15.95" customHeight="1" x14ac:dyDescent="0.25">
      <c r="A582" s="121"/>
      <c r="B582" s="23"/>
      <c r="C582" s="59" t="s">
        <v>8</v>
      </c>
      <c r="D582" s="681" t="s">
        <v>17</v>
      </c>
      <c r="E582" s="682"/>
      <c r="F582" s="31"/>
      <c r="G582" s="87"/>
      <c r="H582" s="677" t="s">
        <v>41</v>
      </c>
      <c r="I582" s="678"/>
      <c r="J582" s="678"/>
      <c r="K582" s="678"/>
      <c r="L582" s="679"/>
      <c r="M582" s="24"/>
      <c r="N582" s="25"/>
      <c r="O582" s="97">
        <f>+M698+O581</f>
        <v>-61957.010273972599</v>
      </c>
    </row>
    <row r="583" spans="1:15" ht="15.95" customHeight="1" x14ac:dyDescent="0.25">
      <c r="A583" s="121"/>
      <c r="B583" s="23"/>
      <c r="C583" s="59" t="s">
        <v>33</v>
      </c>
      <c r="D583" s="132" t="s">
        <v>309</v>
      </c>
      <c r="E583" s="274">
        <v>1</v>
      </c>
      <c r="F583" s="281">
        <f>+E583*J578</f>
        <v>0</v>
      </c>
      <c r="G583" s="87"/>
      <c r="H583" s="146" t="s">
        <v>0</v>
      </c>
      <c r="I583" s="147" t="s">
        <v>2</v>
      </c>
      <c r="J583" s="147" t="s">
        <v>3</v>
      </c>
      <c r="K583" s="147" t="s">
        <v>4</v>
      </c>
      <c r="L583" s="148" t="s">
        <v>5</v>
      </c>
      <c r="M583" s="148" t="s">
        <v>44</v>
      </c>
      <c r="N583" s="25"/>
      <c r="O583" s="97">
        <f>+M699+O582</f>
        <v>-22640.558219178078</v>
      </c>
    </row>
    <row r="584" spans="1:15" ht="15.95" customHeight="1" x14ac:dyDescent="0.25">
      <c r="A584" s="121"/>
      <c r="B584" s="23"/>
      <c r="C584" s="59" t="s">
        <v>34</v>
      </c>
      <c r="D584" s="681" t="s">
        <v>48</v>
      </c>
      <c r="E584" s="682"/>
      <c r="F584" s="31"/>
      <c r="G584" s="87"/>
      <c r="H584" s="45"/>
      <c r="I584" s="46"/>
      <c r="J584" s="46"/>
      <c r="K584" s="46"/>
      <c r="L584" s="47"/>
      <c r="M584" s="101"/>
      <c r="N584" s="25"/>
      <c r="O584" s="97">
        <f>+M700+O583</f>
        <v>15109.69520547946</v>
      </c>
    </row>
    <row r="585" spans="1:15" ht="15.95" customHeight="1" x14ac:dyDescent="0.25">
      <c r="A585" s="121"/>
      <c r="B585" s="23"/>
      <c r="C585" s="79" t="s">
        <v>38</v>
      </c>
      <c r="D585" s="130"/>
      <c r="E585" s="131"/>
      <c r="F585" s="31"/>
      <c r="G585" s="87"/>
      <c r="H585" s="48">
        <f>+$D$596</f>
        <v>43313</v>
      </c>
      <c r="I585" s="136"/>
      <c r="J585" s="49"/>
      <c r="K585" s="49"/>
      <c r="L585" s="50">
        <f>+D598</f>
        <v>200000</v>
      </c>
      <c r="M585" s="102">
        <f>-L585</f>
        <v>-200000</v>
      </c>
      <c r="N585" s="25"/>
      <c r="O585" s="97"/>
    </row>
    <row r="586" spans="1:15" ht="15.95" customHeight="1" x14ac:dyDescent="0.25">
      <c r="A586" s="121"/>
      <c r="B586" s="23"/>
      <c r="C586" s="59"/>
      <c r="D586" s="132"/>
      <c r="E586" s="133"/>
      <c r="F586" s="31"/>
      <c r="G586" s="87"/>
      <c r="H586" s="51">
        <f>IF(DAY(H585)=DAY($H$585),IF(WEEKDAY(EDATE(H585,$D$599),3)&lt;5,EDATE(H585,$D$599),WORKDAY(EDATE(H585,$D$599),1)),IF(WEEKDAY(EDATE($H$585,$D$599*COUNT($H$585:H585)),3)&lt;5,EDATE($H$585,$D$599*COUNT($H$585:H585)),WORKDAY(EDATE($H$585,$D$599*COUNT($H$585:H585)),1)))</f>
        <v>43497</v>
      </c>
      <c r="I586" s="137" t="s">
        <v>13</v>
      </c>
      <c r="J586" s="52">
        <f t="shared" ref="J586:J591" si="50">+(($D$601/365)*(H586-H585))*L585</f>
        <v>8569.8630136986303</v>
      </c>
      <c r="K586" s="52">
        <f>+IF(OR(I586="A + C",I586="A"),$L$585*$D$602,0)</f>
        <v>33333.333333333336</v>
      </c>
      <c r="L586" s="53">
        <f t="shared" ref="L586:L591" si="51">+L585-K586</f>
        <v>166666.66666666666</v>
      </c>
      <c r="M586" s="103">
        <f t="shared" ref="M586:M591" si="52">+J586+K586</f>
        <v>41903.196347031968</v>
      </c>
      <c r="N586" s="25"/>
      <c r="O586" s="97"/>
    </row>
    <row r="587" spans="1:15" ht="15.95" customHeight="1" x14ac:dyDescent="0.25">
      <c r="A587" s="121"/>
      <c r="B587" s="23"/>
      <c r="C587" s="60"/>
      <c r="D587" s="134"/>
      <c r="E587" s="135"/>
      <c r="F587" s="34"/>
      <c r="G587" s="88"/>
      <c r="H587" s="51">
        <f>IF(DAY(H586)=DAY($H$585),IF(WEEKDAY(EDATE(H586,$D$599),3)&lt;5,EDATE(H586,$D$599),WORKDAY(EDATE(H586,$D$599),1)),IF(WEEKDAY(EDATE($H$585,$D$599*COUNT($H$585:H586)),3)&lt;5,EDATE($H$585,$D$599*COUNT($H$585:H586)),WORKDAY(EDATE($H$585,$D$599*COUNT($H$585:H586)),1)))</f>
        <v>43678</v>
      </c>
      <c r="I587" s="137" t="s">
        <v>13</v>
      </c>
      <c r="J587" s="52">
        <f t="shared" si="50"/>
        <v>7025.1141552511417</v>
      </c>
      <c r="K587" s="52">
        <f>+IF(OR(I587="A + C",I587="A"),$D$598*$D$602,0)</f>
        <v>33333.333333333336</v>
      </c>
      <c r="L587" s="53">
        <f t="shared" si="51"/>
        <v>133333.33333333331</v>
      </c>
      <c r="M587" s="103">
        <f t="shared" si="52"/>
        <v>40358.447488584476</v>
      </c>
      <c r="N587" s="25"/>
      <c r="O587" s="97"/>
    </row>
    <row r="588" spans="1:15" ht="15.95" customHeight="1" x14ac:dyDescent="0.25">
      <c r="A588" s="121"/>
      <c r="B588" s="23"/>
      <c r="C588" s="60"/>
      <c r="D588" s="55" t="str">
        <f>B576</f>
        <v>Dosam I</v>
      </c>
      <c r="E588" s="64"/>
      <c r="F588" s="34"/>
      <c r="G588" s="88">
        <f>J578</f>
        <v>0</v>
      </c>
      <c r="H588" s="51">
        <f>IF(DAY(H587)=DAY($H$585),IF(WEEKDAY(EDATE(H587,$D$599),3)&lt;5,EDATE(H587,$D$599),WORKDAY(EDATE(H587,$D$599),1)),IF(WEEKDAY(EDATE($H$585,$D$599*COUNT($H$585:H587)),3)&lt;5,EDATE($H$585,$D$599*COUNT($H$585:H587)),WORKDAY(EDATE($H$585,$D$599*COUNT($H$585:H587)),1)))</f>
        <v>43864</v>
      </c>
      <c r="I588" s="137" t="s">
        <v>13</v>
      </c>
      <c r="J588" s="52">
        <f t="shared" si="50"/>
        <v>5775.3424657534251</v>
      </c>
      <c r="K588" s="52">
        <f>+IF(OR(I588="A + C",I588="A"),$D$598*$D$602,0)</f>
        <v>33333.333333333336</v>
      </c>
      <c r="L588" s="53">
        <f t="shared" si="51"/>
        <v>99999.999999999971</v>
      </c>
      <c r="M588" s="103">
        <f t="shared" si="52"/>
        <v>39108.675799086763</v>
      </c>
      <c r="N588" s="25"/>
    </row>
    <row r="589" spans="1:15" ht="15.95" customHeight="1" x14ac:dyDescent="0.25">
      <c r="A589" s="121"/>
      <c r="B589" s="32"/>
      <c r="D589" s="644"/>
      <c r="E589" s="660"/>
      <c r="F589" s="34"/>
      <c r="G589" s="88"/>
      <c r="H589" s="51">
        <f>IF(DAY(H588)=DAY($H$585),IF(WEEKDAY(EDATE(H588,$D$599),3)&lt;5,EDATE(H588,$D$599),WORKDAY(EDATE(H588,$D$599),1)),IF(WEEKDAY(EDATE($H$585,$D$599*COUNT($H$585:H588)),3)&lt;5,EDATE($H$585,$D$599*COUNT($H$585:H588)),WORKDAY(EDATE($H$585,$D$599*COUNT($H$585:H588)),1)))</f>
        <v>44046</v>
      </c>
      <c r="I589" s="137" t="s">
        <v>13</v>
      </c>
      <c r="J589" s="52">
        <f t="shared" si="50"/>
        <v>4238.356164383561</v>
      </c>
      <c r="K589" s="52">
        <f>+IF(OR(I589="A + C",I589="A"),$D$598*$D$602,0)</f>
        <v>33333.333333333336</v>
      </c>
      <c r="L589" s="53">
        <f t="shared" si="51"/>
        <v>66666.666666666628</v>
      </c>
      <c r="M589" s="103">
        <f t="shared" si="52"/>
        <v>37571.689497716899</v>
      </c>
      <c r="N589" s="25"/>
    </row>
    <row r="590" spans="1:15" ht="15.95" customHeight="1" x14ac:dyDescent="0.25">
      <c r="A590" s="121"/>
      <c r="B590" s="23"/>
      <c r="C590" s="638" t="s">
        <v>36</v>
      </c>
      <c r="D590" s="640"/>
      <c r="E590" s="36"/>
      <c r="F590" s="34"/>
      <c r="G590" s="88"/>
      <c r="H590" s="51">
        <f>IF(DAY(H589)=DAY($H$585),IF(WEEKDAY(EDATE(H589,$D$599),3)&lt;5,EDATE(H589,$D$599),WORKDAY(EDATE(H589,$D$599),1)),IF(WEEKDAY(EDATE($H$585,$D$599*COUNT($H$585:H589)),3)&lt;5,EDATE($H$585,$D$599*COUNT($H$585:H589)),WORKDAY(EDATE($H$585,$D$599*COUNT($H$585:H589)),1)))</f>
        <v>44228</v>
      </c>
      <c r="I590" s="137" t="s">
        <v>13</v>
      </c>
      <c r="J590" s="52">
        <f t="shared" si="50"/>
        <v>2825.5707762557067</v>
      </c>
      <c r="K590" s="52">
        <f>+IF(OR(I590="A + C",I590="A"),$D$598*$D$602,0)</f>
        <v>33333.333333333336</v>
      </c>
      <c r="L590" s="53">
        <f t="shared" si="51"/>
        <v>33333.333333333292</v>
      </c>
      <c r="M590" s="103">
        <f t="shared" si="52"/>
        <v>36158.904109589042</v>
      </c>
      <c r="N590" s="25"/>
    </row>
    <row r="591" spans="1:15" ht="15.95" customHeight="1" x14ac:dyDescent="0.25">
      <c r="A591" s="121"/>
      <c r="B591" s="23"/>
      <c r="C591" s="59"/>
      <c r="D591" s="62"/>
      <c r="E591" s="36"/>
      <c r="F591" s="36"/>
      <c r="G591" s="89"/>
      <c r="H591" s="51">
        <f>IF(DAY(H590)=DAY($H$585),IF(WEEKDAY(EDATE(H590,$D$599),3)&lt;5,EDATE(H590,$D$599),WORKDAY(EDATE(H590,$D$599),1)),IF(WEEKDAY(EDATE($H$585,$D$599*COUNT($H$585:H590)),3)&lt;5,EDATE($H$585,$D$599*COUNT($H$585:H590)),WORKDAY(EDATE($H$585,$D$599*COUNT($H$585:H590)),1)))</f>
        <v>44410</v>
      </c>
      <c r="I591" s="137" t="s">
        <v>13</v>
      </c>
      <c r="J591" s="52">
        <f t="shared" si="50"/>
        <v>1412.7853881278525</v>
      </c>
      <c r="K591" s="52">
        <f>+IF(OR(I591="A + C",I591="A"),$D$598*$D$602,0)</f>
        <v>33333.333333333336</v>
      </c>
      <c r="L591" s="53">
        <f t="shared" si="51"/>
        <v>0</v>
      </c>
      <c r="M591" s="103">
        <f t="shared" si="52"/>
        <v>34746.118721461185</v>
      </c>
      <c r="N591" s="25"/>
    </row>
    <row r="592" spans="1:15" ht="15.95" customHeight="1" x14ac:dyDescent="0.25">
      <c r="A592" s="121"/>
      <c r="B592" s="23"/>
      <c r="C592" s="59" t="s">
        <v>9</v>
      </c>
      <c r="D592" s="129" t="s">
        <v>49</v>
      </c>
      <c r="E592" s="36"/>
      <c r="F592" s="36"/>
      <c r="G592" s="89"/>
      <c r="H592" s="54"/>
      <c r="I592" s="144"/>
      <c r="J592" s="55"/>
      <c r="K592" s="56"/>
      <c r="L592" s="57"/>
      <c r="M592" s="108"/>
      <c r="N592" s="25"/>
    </row>
    <row r="593" spans="1:15" ht="15.95" customHeight="1" x14ac:dyDescent="0.25">
      <c r="A593" s="121"/>
      <c r="B593" s="23"/>
      <c r="C593" s="59" t="s">
        <v>51</v>
      </c>
      <c r="D593" s="138" t="s">
        <v>49</v>
      </c>
      <c r="E593" s="36"/>
      <c r="F593" s="36"/>
      <c r="G593" s="89"/>
      <c r="H593" s="24"/>
      <c r="I593" s="24"/>
      <c r="J593" s="24"/>
      <c r="K593" s="24"/>
      <c r="L593" s="24"/>
      <c r="M593" s="24"/>
      <c r="N593" s="25"/>
    </row>
    <row r="594" spans="1:15" ht="15.95" customHeight="1" x14ac:dyDescent="0.25">
      <c r="A594" s="121"/>
      <c r="B594" s="23"/>
      <c r="C594" s="59" t="s">
        <v>52</v>
      </c>
      <c r="D594" s="138" t="s">
        <v>49</v>
      </c>
      <c r="E594" s="36"/>
      <c r="F594" s="36"/>
      <c r="G594" s="89"/>
      <c r="H594" s="680" t="s">
        <v>43</v>
      </c>
      <c r="I594" s="680"/>
      <c r="J594" s="92">
        <v>0</v>
      </c>
      <c r="K594" s="92"/>
      <c r="L594" s="24"/>
      <c r="M594" s="24"/>
      <c r="N594" s="25"/>
    </row>
    <row r="595" spans="1:15" ht="15.95" customHeight="1" x14ac:dyDescent="0.25">
      <c r="A595" s="121"/>
      <c r="B595" s="23"/>
      <c r="C595" s="59" t="s">
        <v>10</v>
      </c>
      <c r="D595" s="139">
        <v>43311</v>
      </c>
      <c r="E595" s="36"/>
      <c r="F595" s="36"/>
      <c r="G595" s="89"/>
      <c r="H595" s="657"/>
      <c r="I595" s="657"/>
      <c r="J595" s="392"/>
      <c r="K595" s="24"/>
      <c r="L595" s="33"/>
      <c r="M595" s="33"/>
      <c r="N595" s="25"/>
    </row>
    <row r="596" spans="1:15" ht="15.95" customHeight="1" x14ac:dyDescent="0.25">
      <c r="A596" s="121"/>
      <c r="B596" s="23"/>
      <c r="C596" s="59" t="s">
        <v>11</v>
      </c>
      <c r="D596" s="139">
        <v>43313</v>
      </c>
      <c r="E596" s="41"/>
      <c r="F596" s="24"/>
      <c r="G596" s="90"/>
      <c r="H596" s="24"/>
      <c r="I596" s="24"/>
      <c r="J596" s="24"/>
      <c r="K596" s="24"/>
      <c r="L596" s="24"/>
      <c r="M596" s="24"/>
      <c r="N596" s="25"/>
    </row>
    <row r="597" spans="1:15" ht="15.95" customHeight="1" x14ac:dyDescent="0.25">
      <c r="A597" s="121"/>
      <c r="B597" s="23"/>
      <c r="C597" s="59" t="s">
        <v>12</v>
      </c>
      <c r="D597" s="139">
        <v>44410</v>
      </c>
      <c r="E597" s="36"/>
      <c r="F597" s="24"/>
      <c r="G597" s="90"/>
      <c r="H597" s="638" t="s">
        <v>44</v>
      </c>
      <c r="I597" s="639"/>
      <c r="J597" s="639"/>
      <c r="K597" s="639"/>
      <c r="L597" s="639"/>
      <c r="M597" s="640"/>
      <c r="N597" s="25"/>
    </row>
    <row r="598" spans="1:15" ht="15.95" customHeight="1" x14ac:dyDescent="0.25">
      <c r="A598" s="121"/>
      <c r="B598" s="23"/>
      <c r="C598" s="59" t="s">
        <v>27</v>
      </c>
      <c r="D598" s="140">
        <v>200000</v>
      </c>
      <c r="E598" s="43"/>
      <c r="F598" s="24"/>
      <c r="G598" s="90"/>
      <c r="H598" s="23"/>
      <c r="I598" s="24"/>
      <c r="J598" s="24"/>
      <c r="K598" s="24"/>
      <c r="L598" s="24"/>
      <c r="M598" s="25"/>
      <c r="N598" s="25"/>
    </row>
    <row r="599" spans="1:15" ht="15.95" customHeight="1" x14ac:dyDescent="0.25">
      <c r="A599" s="121"/>
      <c r="B599" s="23"/>
      <c r="C599" s="59" t="s">
        <v>26</v>
      </c>
      <c r="D599" s="140">
        <v>6</v>
      </c>
      <c r="E599" s="43"/>
      <c r="F599" s="24"/>
      <c r="G599" s="90"/>
      <c r="H599" s="23"/>
      <c r="I599" s="24"/>
      <c r="J599" s="24"/>
      <c r="K599" s="24"/>
      <c r="L599" s="24"/>
      <c r="M599" s="25"/>
      <c r="N599" s="25"/>
    </row>
    <row r="600" spans="1:15" ht="15.95" customHeight="1" x14ac:dyDescent="0.25">
      <c r="A600" s="121"/>
      <c r="B600" s="23"/>
      <c r="C600" s="59" t="s">
        <v>19</v>
      </c>
      <c r="D600" s="141" t="s">
        <v>50</v>
      </c>
      <c r="E600" s="43"/>
      <c r="F600" s="24"/>
      <c r="G600" s="90"/>
      <c r="H600" s="96"/>
      <c r="I600" s="35"/>
      <c r="J600" s="24"/>
      <c r="K600" s="24"/>
      <c r="L600" s="24"/>
      <c r="M600" s="25"/>
      <c r="N600" s="25"/>
    </row>
    <row r="601" spans="1:15" ht="15.95" customHeight="1" x14ac:dyDescent="0.25">
      <c r="A601" s="121"/>
      <c r="B601" s="23"/>
      <c r="C601" s="59" t="s">
        <v>14</v>
      </c>
      <c r="D601" s="142">
        <v>8.5000000000000006E-2</v>
      </c>
      <c r="E601" s="44"/>
      <c r="F601" s="24"/>
      <c r="G601" s="90"/>
      <c r="H601" s="23"/>
      <c r="I601" s="24"/>
      <c r="J601" s="24"/>
      <c r="K601" s="24"/>
      <c r="L601" s="24"/>
      <c r="M601" s="25"/>
      <c r="N601" s="25"/>
    </row>
    <row r="602" spans="1:15" ht="15.95" customHeight="1" x14ac:dyDescent="0.25">
      <c r="A602" s="121"/>
      <c r="B602" s="23"/>
      <c r="C602" s="59" t="s">
        <v>81</v>
      </c>
      <c r="D602" s="143">
        <v>0.16666666666666669</v>
      </c>
      <c r="E602" s="24"/>
      <c r="F602" s="24"/>
      <c r="G602" s="90"/>
      <c r="H602" s="23"/>
      <c r="I602" s="24"/>
      <c r="J602" s="24"/>
      <c r="K602" s="24"/>
      <c r="L602" s="24"/>
      <c r="M602" s="25"/>
      <c r="N602" s="25"/>
    </row>
    <row r="603" spans="1:15" ht="15.95" customHeight="1" x14ac:dyDescent="0.25">
      <c r="A603" s="121"/>
      <c r="B603" s="23"/>
      <c r="C603" s="60"/>
      <c r="D603" s="149"/>
      <c r="E603" s="24"/>
      <c r="F603" s="24"/>
      <c r="G603" s="90"/>
      <c r="H603" s="23"/>
      <c r="I603" s="24"/>
      <c r="J603" s="24"/>
      <c r="K603" s="24"/>
      <c r="L603" s="24"/>
      <c r="M603" s="25"/>
      <c r="N603" s="25"/>
    </row>
    <row r="604" spans="1:15" ht="15.95" customHeight="1" x14ac:dyDescent="0.25">
      <c r="A604" s="121"/>
      <c r="B604" s="23"/>
      <c r="C604" s="150"/>
      <c r="D604" s="24"/>
      <c r="E604" s="24"/>
      <c r="F604" s="24"/>
      <c r="G604" s="90"/>
      <c r="H604" s="23"/>
      <c r="I604" s="24"/>
      <c r="J604" s="24"/>
      <c r="K604" s="24"/>
      <c r="L604" s="24"/>
      <c r="M604" s="25"/>
      <c r="N604" s="25"/>
    </row>
    <row r="605" spans="1:15" ht="20.100000000000001" customHeight="1" x14ac:dyDescent="0.25">
      <c r="A605" s="121"/>
      <c r="B605" s="23"/>
      <c r="C605" s="24"/>
      <c r="D605" s="24"/>
      <c r="E605" s="24"/>
      <c r="F605" s="24"/>
      <c r="G605" s="90"/>
      <c r="H605" s="23"/>
      <c r="I605" s="24"/>
      <c r="J605" s="24"/>
      <c r="K605" s="24"/>
      <c r="L605" s="24"/>
      <c r="M605" s="25"/>
      <c r="N605" s="25"/>
    </row>
    <row r="606" spans="1:15" ht="15.95" customHeight="1" x14ac:dyDescent="0.25">
      <c r="A606" s="121"/>
      <c r="B606" s="23"/>
      <c r="C606" s="24"/>
      <c r="D606" s="24"/>
      <c r="E606" s="24"/>
      <c r="F606" s="24"/>
      <c r="G606" s="90"/>
      <c r="H606" s="23"/>
      <c r="I606" s="24"/>
      <c r="J606" s="24"/>
      <c r="K606" s="24"/>
      <c r="L606" s="24"/>
      <c r="M606" s="25"/>
      <c r="N606" s="25"/>
    </row>
    <row r="607" spans="1:15" ht="15.95" customHeight="1" x14ac:dyDescent="0.25">
      <c r="A607" s="121"/>
      <c r="B607" s="23"/>
      <c r="C607" s="24"/>
      <c r="D607" s="24"/>
      <c r="E607" s="24"/>
      <c r="F607" s="24"/>
      <c r="G607" s="90"/>
      <c r="H607" s="23"/>
      <c r="I607" s="24"/>
      <c r="J607" s="24"/>
      <c r="K607" s="24"/>
      <c r="L607" s="24"/>
      <c r="M607" s="25"/>
      <c r="N607" s="25"/>
      <c r="O607" s="194" t="str">
        <f>+D763</f>
        <v>ON Pyme CNV Garantizada</v>
      </c>
    </row>
    <row r="608" spans="1:15" ht="15.95" customHeight="1" x14ac:dyDescent="0.25">
      <c r="A608" s="121"/>
      <c r="B608" s="23"/>
      <c r="C608" s="24"/>
      <c r="D608" s="24"/>
      <c r="E608" s="24"/>
      <c r="F608" s="24"/>
      <c r="G608" s="90"/>
      <c r="H608" s="23"/>
      <c r="I608" s="24"/>
      <c r="J608" s="24"/>
      <c r="K608" s="24"/>
      <c r="L608" s="24"/>
      <c r="M608" s="25"/>
      <c r="N608" s="25"/>
    </row>
    <row r="609" spans="1:15" ht="15.95" customHeight="1" x14ac:dyDescent="0.25">
      <c r="A609" s="121"/>
      <c r="B609" s="23"/>
      <c r="C609" s="24"/>
      <c r="D609" s="24"/>
      <c r="E609" s="24"/>
      <c r="F609" s="24"/>
      <c r="G609" s="90"/>
      <c r="H609" s="26"/>
      <c r="I609" s="27"/>
      <c r="J609" s="27"/>
      <c r="K609" s="27"/>
      <c r="L609" s="27"/>
      <c r="M609" s="28"/>
      <c r="N609" s="25"/>
      <c r="O609" s="194" t="str">
        <f>+IF(J761="vencida",IF(D763='Reporte - Oscuro'!$C$40,'Reporte - Oscuro'!$C$40&amp;" vencida",IF(D763='Reporte - Oscuro'!$C$41,'Reporte - Oscuro'!$C$41&amp;" vencida",IF(D763='Reporte - Oscuro'!$C$42,'Reporte - Oscuro'!$C$42&amp;" vencida",'Reporte - Oscuro'!$C$43&amp;" vencida"))),D763&amp;" vigente")</f>
        <v>ON Pyme CNV Garantizada vencida</v>
      </c>
    </row>
    <row r="610" spans="1:15" ht="15.95" customHeight="1" x14ac:dyDescent="0.25">
      <c r="A610" s="121"/>
      <c r="B610" s="26"/>
      <c r="C610" s="85"/>
      <c r="D610" s="27"/>
      <c r="E610" s="27"/>
      <c r="F610" s="27"/>
      <c r="G610" s="91"/>
      <c r="H610" s="27"/>
      <c r="I610" s="27"/>
      <c r="J610" s="27"/>
      <c r="K610" s="27"/>
      <c r="L610" s="27"/>
      <c r="M610" s="27"/>
      <c r="N610" s="28"/>
    </row>
    <row r="611" spans="1:15" ht="15.95" customHeight="1" x14ac:dyDescent="0.25">
      <c r="A611" s="121"/>
      <c r="B611" s="23"/>
      <c r="C611" s="24"/>
      <c r="D611" s="24"/>
      <c r="E611" s="24"/>
      <c r="F611" s="24"/>
      <c r="G611" s="24"/>
      <c r="H611" s="24"/>
      <c r="I611" s="24"/>
      <c r="J611" s="24"/>
      <c r="K611" s="24"/>
      <c r="L611" s="24"/>
      <c r="M611" s="24"/>
      <c r="N611" s="25"/>
    </row>
    <row r="612" spans="1:15" ht="15.95" customHeight="1" x14ac:dyDescent="0.25">
      <c r="A612" s="122" t="s">
        <v>122</v>
      </c>
      <c r="B612" s="683" t="s">
        <v>192</v>
      </c>
      <c r="C612" s="684"/>
      <c r="D612" s="684"/>
      <c r="E612" s="684"/>
      <c r="F612" s="684"/>
      <c r="G612" s="684"/>
      <c r="H612" s="684"/>
      <c r="I612" s="684"/>
      <c r="J612" s="684"/>
      <c r="K612" s="684"/>
      <c r="L612" s="684"/>
      <c r="M612" s="684"/>
      <c r="N612" s="685"/>
    </row>
    <row r="613" spans="1:15" ht="15.95" customHeight="1" x14ac:dyDescent="0.25">
      <c r="A613" s="121"/>
      <c r="B613" s="23"/>
      <c r="C613" s="24"/>
      <c r="D613" s="24"/>
      <c r="E613" s="24"/>
      <c r="F613" s="31"/>
      <c r="G613" s="87"/>
      <c r="H613" s="31"/>
      <c r="I613" s="31"/>
      <c r="J613" s="24"/>
      <c r="K613" s="24"/>
      <c r="L613" s="24"/>
      <c r="M613" s="24"/>
      <c r="N613" s="25"/>
    </row>
    <row r="614" spans="1:15" ht="15.95" customHeight="1" x14ac:dyDescent="0.25">
      <c r="A614" s="121"/>
      <c r="B614" s="23"/>
      <c r="C614" s="638" t="s">
        <v>37</v>
      </c>
      <c r="D614" s="639"/>
      <c r="E614" s="640"/>
      <c r="F614" s="31"/>
      <c r="G614" s="87"/>
      <c r="H614" s="641" t="s">
        <v>28</v>
      </c>
      <c r="I614" s="642"/>
      <c r="J614" s="39">
        <f>+$D$634-SUMIF($H$620:$H$629,"&lt;"&amp;$M$4,$K$620:$K$629)</f>
        <v>0</v>
      </c>
      <c r="K614" s="24"/>
      <c r="L614" s="24"/>
      <c r="M614" s="24"/>
      <c r="N614" s="25"/>
      <c r="O614" s="97">
        <f>+M766</f>
        <v>-215000</v>
      </c>
    </row>
    <row r="615" spans="1:15" ht="15.95" customHeight="1" x14ac:dyDescent="0.25">
      <c r="A615" s="121"/>
      <c r="B615" s="23"/>
      <c r="C615" s="58"/>
      <c r="D615" s="664"/>
      <c r="E615" s="665"/>
      <c r="F615" s="31"/>
      <c r="G615" s="87"/>
      <c r="H615" s="645" t="s">
        <v>29</v>
      </c>
      <c r="I615" s="646"/>
      <c r="J615" s="40">
        <f>+$D$633</f>
        <v>44166</v>
      </c>
      <c r="K615" s="24"/>
      <c r="L615" s="24"/>
      <c r="M615" s="24"/>
      <c r="N615" s="25"/>
      <c r="O615" s="97">
        <f t="shared" ref="O615:O620" si="53">+M767+O614</f>
        <v>-168505.02283105021</v>
      </c>
    </row>
    <row r="616" spans="1:15" ht="15.95" customHeight="1" x14ac:dyDescent="0.25">
      <c r="A616" s="121"/>
      <c r="B616" s="23"/>
      <c r="C616" s="59" t="s">
        <v>25</v>
      </c>
      <c r="D616" s="681"/>
      <c r="E616" s="682"/>
      <c r="F616" s="31"/>
      <c r="G616" s="87"/>
      <c r="H616" s="649" t="s">
        <v>30</v>
      </c>
      <c r="I616" s="650"/>
      <c r="J616" s="42" t="str">
        <f t="array" ref="J616">+IF(H629&gt;=M4,MIN(IF($H$620:$H$629&gt;$M$4,$H$620:$H$629,"")),"vencida")</f>
        <v>vencida</v>
      </c>
      <c r="K616" s="24"/>
      <c r="L616" s="24"/>
      <c r="M616" s="24"/>
      <c r="N616" s="25"/>
      <c r="O616" s="97">
        <f t="shared" si="53"/>
        <v>-123541.5525114155</v>
      </c>
    </row>
    <row r="617" spans="1:15" ht="15.95" customHeight="1" x14ac:dyDescent="0.25">
      <c r="A617" s="121"/>
      <c r="B617" s="23"/>
      <c r="C617" s="59" t="s">
        <v>6</v>
      </c>
      <c r="D617" s="681" t="s">
        <v>236</v>
      </c>
      <c r="E617" s="682"/>
      <c r="F617" s="31"/>
      <c r="G617" s="87"/>
      <c r="H617" s="24"/>
      <c r="I617" s="24"/>
      <c r="J617" s="24"/>
      <c r="K617" s="24"/>
      <c r="L617" s="24"/>
      <c r="M617" s="24"/>
      <c r="N617" s="25"/>
      <c r="O617" s="97">
        <f t="shared" si="53"/>
        <v>-80561.187214611855</v>
      </c>
    </row>
    <row r="618" spans="1:15" ht="15.95" customHeight="1" x14ac:dyDescent="0.25">
      <c r="A618" s="121"/>
      <c r="B618" s="23"/>
      <c r="C618" s="59" t="s">
        <v>8</v>
      </c>
      <c r="D618" s="681" t="s">
        <v>61</v>
      </c>
      <c r="E618" s="682"/>
      <c r="F618" s="31"/>
      <c r="G618" s="87"/>
      <c r="H618" s="651" t="s">
        <v>41</v>
      </c>
      <c r="I618" s="652"/>
      <c r="J618" s="652"/>
      <c r="K618" s="652"/>
      <c r="L618" s="653"/>
      <c r="M618" s="24"/>
      <c r="N618" s="25"/>
      <c r="O618" s="97">
        <f t="shared" si="53"/>
        <v>-39367.579908675776</v>
      </c>
    </row>
    <row r="619" spans="1:15" ht="15.95" customHeight="1" x14ac:dyDescent="0.25">
      <c r="A619" s="121"/>
      <c r="B619" s="23"/>
      <c r="C619" s="59" t="s">
        <v>33</v>
      </c>
      <c r="D619" s="681"/>
      <c r="E619" s="682"/>
      <c r="F619" s="31"/>
      <c r="G619" s="87"/>
      <c r="H619" s="126" t="s">
        <v>0</v>
      </c>
      <c r="I619" s="127" t="s">
        <v>2</v>
      </c>
      <c r="J619" s="127" t="s">
        <v>3</v>
      </c>
      <c r="K619" s="127" t="s">
        <v>4</v>
      </c>
      <c r="L619" s="128" t="s">
        <v>5</v>
      </c>
      <c r="M619" s="127" t="s">
        <v>44</v>
      </c>
      <c r="N619" s="25"/>
      <c r="O619" s="97">
        <f t="shared" si="53"/>
        <v>39.269406392719247</v>
      </c>
    </row>
    <row r="620" spans="1:15" ht="15.95" customHeight="1" x14ac:dyDescent="0.25">
      <c r="A620" s="121"/>
      <c r="B620" s="23"/>
      <c r="C620" s="59" t="s">
        <v>34</v>
      </c>
      <c r="D620" s="681" t="s">
        <v>48</v>
      </c>
      <c r="E620" s="682"/>
      <c r="F620" s="31"/>
      <c r="G620" s="87"/>
      <c r="H620" s="45"/>
      <c r="I620" s="46"/>
      <c r="J620" s="46"/>
      <c r="K620" s="46"/>
      <c r="L620" s="47"/>
      <c r="M620" s="23"/>
      <c r="N620" s="25"/>
      <c r="O620" s="97">
        <f t="shared" si="53"/>
        <v>37669.178082191807</v>
      </c>
    </row>
    <row r="621" spans="1:15" ht="15.95" customHeight="1" x14ac:dyDescent="0.25">
      <c r="A621" s="121"/>
      <c r="B621" s="23"/>
      <c r="C621" s="79" t="s">
        <v>38</v>
      </c>
      <c r="D621" s="130"/>
      <c r="E621" s="131"/>
      <c r="F621" s="31"/>
      <c r="G621" s="87"/>
      <c r="H621" s="48">
        <f>+$D$632</f>
        <v>42705</v>
      </c>
      <c r="I621" s="136"/>
      <c r="J621" s="49"/>
      <c r="K621" s="49"/>
      <c r="L621" s="50">
        <f>+D634</f>
        <v>5000000</v>
      </c>
      <c r="M621" s="93">
        <f>-L621</f>
        <v>-5000000</v>
      </c>
      <c r="N621" s="25"/>
      <c r="O621" s="97"/>
    </row>
    <row r="622" spans="1:15" ht="15.95" customHeight="1" x14ac:dyDescent="0.25">
      <c r="A622" s="121"/>
      <c r="B622" s="23"/>
      <c r="C622" s="59"/>
      <c r="D622" s="132"/>
      <c r="E622" s="133"/>
      <c r="F622" s="31"/>
      <c r="G622" s="87"/>
      <c r="H622" s="51">
        <f>IF(DAY(H621)=DAY($H$621),IF(WEEKDAY(EDATE(H621,$D$635),3)&lt;5,EDATE(H621,$D$635),WORKDAY(EDATE(H621,$D$635),1)),IF(WEEKDAY(EDATE($H$621,$D$635*COUNT($H$621:H621)),3)&lt;5,EDATE($H$621,$D$635*COUNT($H$621:H621)),WORKDAY(EDATE($H$621,$D$635*COUNT($H$621:H621)),1)))</f>
        <v>42887</v>
      </c>
      <c r="I622" s="137" t="s">
        <v>7</v>
      </c>
      <c r="J622" s="52">
        <f t="shared" ref="J622:J629" si="54">+(($D$637/365)*(H622-H621))*L621</f>
        <v>186986.30136986301</v>
      </c>
      <c r="K622" s="52">
        <f>+IF(OR(I622="A + C",I622="A"),$L$621*$D$638,0)</f>
        <v>0</v>
      </c>
      <c r="L622" s="53">
        <f t="shared" ref="L622:L629" si="55">+L621-K622</f>
        <v>5000000</v>
      </c>
      <c r="M622" s="94">
        <f t="shared" ref="M622:M629" si="56">+J622+K622</f>
        <v>186986.30136986301</v>
      </c>
      <c r="N622" s="25"/>
      <c r="O622" s="97"/>
    </row>
    <row r="623" spans="1:15" ht="15.95" customHeight="1" x14ac:dyDescent="0.25">
      <c r="A623" s="121"/>
      <c r="B623" s="23"/>
      <c r="C623" s="60"/>
      <c r="D623" s="134"/>
      <c r="E623" s="135"/>
      <c r="F623" s="34"/>
      <c r="G623" s="88"/>
      <c r="H623" s="51">
        <f>IF(DAY(H622)=DAY($H$621),IF(WEEKDAY(EDATE(H622,$D$635),3)&lt;5,EDATE(H622,$D$635),WORKDAY(EDATE(H622,$D$635),1)),IF(WEEKDAY(EDATE($H$621,$D$635*COUNT($H$621:H622)),3)&lt;5,EDATE($H$621,$D$635*COUNT($H$621:H622)),WORKDAY(EDATE($H$621,$D$635*COUNT($H$621:H622)),1)))</f>
        <v>43070</v>
      </c>
      <c r="I623" s="137" t="s">
        <v>7</v>
      </c>
      <c r="J623" s="52">
        <f t="shared" si="54"/>
        <v>188013.69863013696</v>
      </c>
      <c r="K623" s="52">
        <f>+IF(OR(I623="A + C",I623="A"),$D$634*$D$638,0)</f>
        <v>0</v>
      </c>
      <c r="L623" s="53">
        <f t="shared" si="55"/>
        <v>5000000</v>
      </c>
      <c r="M623" s="94">
        <f t="shared" si="56"/>
        <v>188013.69863013696</v>
      </c>
      <c r="N623" s="25"/>
      <c r="O623" s="97"/>
    </row>
    <row r="624" spans="1:15" ht="15.95" customHeight="1" x14ac:dyDescent="0.25">
      <c r="A624" s="121"/>
      <c r="B624" s="23"/>
      <c r="C624" s="60"/>
      <c r="D624" s="55" t="str">
        <f>B612</f>
        <v>Edisur I</v>
      </c>
      <c r="E624" s="64"/>
      <c r="F624" s="34"/>
      <c r="G624" s="88">
        <f>J614</f>
        <v>0</v>
      </c>
      <c r="H624" s="51">
        <f>IF(DAY(H623)=DAY($H$621),IF(WEEKDAY(EDATE(H623,$D$635),3)&lt;5,EDATE(H623,$D$635),WORKDAY(EDATE(H623,$D$635),1)),IF(WEEKDAY(EDATE($H$621,$D$635*COUNT($H$621:H623)),3)&lt;5,EDATE($H$621,$D$635*COUNT($H$621:H623)),WORKDAY(EDATE($H$621,$D$635*COUNT($H$621:H623)),1)))</f>
        <v>43252</v>
      </c>
      <c r="I624" s="137" t="s">
        <v>13</v>
      </c>
      <c r="J624" s="52">
        <f t="shared" si="54"/>
        <v>186986.30136986301</v>
      </c>
      <c r="K624" s="52">
        <f>+IF(OR(I624="A + C",I624="A"),$D$634*$D$638,0)</f>
        <v>750000</v>
      </c>
      <c r="L624" s="53">
        <f t="shared" si="55"/>
        <v>4250000</v>
      </c>
      <c r="M624" s="94">
        <f t="shared" si="56"/>
        <v>936986.30136986298</v>
      </c>
      <c r="N624" s="25"/>
      <c r="O624" s="97"/>
    </row>
    <row r="625" spans="1:14" ht="15.95" customHeight="1" x14ac:dyDescent="0.25">
      <c r="A625" s="121"/>
      <c r="B625" s="32"/>
      <c r="D625" s="644"/>
      <c r="E625" s="660"/>
      <c r="F625" s="34"/>
      <c r="G625" s="88"/>
      <c r="H625" s="51">
        <f>IF(DAY(H624)=DAY($H$621),IF(WEEKDAY(EDATE(H624,$D$635),3)&lt;5,EDATE(H624,$D$635),WORKDAY(EDATE(H624,$D$635),1)),IF(WEEKDAY(EDATE($H$621,$D$635*COUNT($H$621:H624)),3)&lt;5,EDATE($H$621,$D$635*COUNT($H$621:H624)),WORKDAY(EDATE($H$621,$D$635*COUNT($H$621:H624)),1)))</f>
        <v>43437</v>
      </c>
      <c r="I625" s="137" t="s">
        <v>13</v>
      </c>
      <c r="J625" s="52">
        <f t="shared" si="54"/>
        <v>161558.21917808219</v>
      </c>
      <c r="K625" s="52">
        <f>+IF(OR(I625="A + C",I625="A"),$D$634*$D$638,0)</f>
        <v>750000</v>
      </c>
      <c r="L625" s="53">
        <f t="shared" si="55"/>
        <v>3500000</v>
      </c>
      <c r="M625" s="94">
        <f t="shared" si="56"/>
        <v>911558.21917808219</v>
      </c>
      <c r="N625" s="25"/>
    </row>
    <row r="626" spans="1:14" ht="15.95" customHeight="1" x14ac:dyDescent="0.25">
      <c r="A626" s="121"/>
      <c r="B626" s="23"/>
      <c r="C626" s="638" t="s">
        <v>36</v>
      </c>
      <c r="D626" s="640"/>
      <c r="E626" s="36"/>
      <c r="F626" s="34"/>
      <c r="G626" s="88"/>
      <c r="H626" s="51">
        <f>IF(DAY(H625)=DAY($H$621),IF(WEEKDAY(EDATE(H625,$D$635),3)&lt;5,EDATE(H625,$D$635),WORKDAY(EDATE(H625,$D$635),1)),IF(WEEKDAY(EDATE($H$621,$D$635*COUNT($H$621:H625)),3)&lt;5,EDATE($H$621,$D$635*COUNT($H$621:H625)),WORKDAY(EDATE($H$621,$D$635*COUNT($H$621:H625)),1)))</f>
        <v>43619</v>
      </c>
      <c r="I626" s="137" t="s">
        <v>13</v>
      </c>
      <c r="J626" s="52">
        <f t="shared" si="54"/>
        <v>130890.41095890412</v>
      </c>
      <c r="K626" s="52">
        <f>+IF(OR(I626="A + C",I626="A"),$D$634*$D$638,0)</f>
        <v>750000</v>
      </c>
      <c r="L626" s="53">
        <f t="shared" si="55"/>
        <v>2750000</v>
      </c>
      <c r="M626" s="94">
        <f t="shared" si="56"/>
        <v>880890.41095890407</v>
      </c>
      <c r="N626" s="25"/>
    </row>
    <row r="627" spans="1:14" ht="15.95" customHeight="1" x14ac:dyDescent="0.25">
      <c r="A627" s="121"/>
      <c r="B627" s="23"/>
      <c r="C627" s="59"/>
      <c r="D627" s="62"/>
      <c r="E627" s="36"/>
      <c r="F627" s="36"/>
      <c r="G627" s="89"/>
      <c r="H627" s="51">
        <f>IF(DAY(H626)=DAY($H$621),IF(WEEKDAY(EDATE(H626,$D$635),3)&lt;5,EDATE(H626,$D$635),WORKDAY(EDATE(H626,$D$635),1)),IF(WEEKDAY(EDATE($H$621,$D$635*COUNT($H$621:H626)),3)&lt;5,EDATE($H$621,$D$635*COUNT($H$621:H626)),WORKDAY(EDATE($H$621,$D$635*COUNT($H$621:H626)),1)))</f>
        <v>43801</v>
      </c>
      <c r="I627" s="137" t="s">
        <v>13</v>
      </c>
      <c r="J627" s="52">
        <f t="shared" si="54"/>
        <v>102842.46575342467</v>
      </c>
      <c r="K627" s="52">
        <f>+IF(OR(I627="A + C",I627="A"),$D$634*$D$638,0)</f>
        <v>750000</v>
      </c>
      <c r="L627" s="53">
        <f t="shared" si="55"/>
        <v>2000000</v>
      </c>
      <c r="M627" s="94">
        <f t="shared" si="56"/>
        <v>852842.46575342468</v>
      </c>
      <c r="N627" s="25"/>
    </row>
    <row r="628" spans="1:14" ht="15.95" customHeight="1" x14ac:dyDescent="0.25">
      <c r="A628" s="121"/>
      <c r="B628" s="23"/>
      <c r="C628" s="59" t="s">
        <v>9</v>
      </c>
      <c r="D628" s="129" t="s">
        <v>49</v>
      </c>
      <c r="E628" s="36"/>
      <c r="F628" s="36"/>
      <c r="G628" s="89"/>
      <c r="H628" s="51">
        <f>IF(DAY(H627)=DAY($H$621),IF(WEEKDAY(EDATE(H627,$D$635),3)&lt;5,EDATE(H627,$D$635),WORKDAY(EDATE(H627,$D$635),1)),IF(WEEKDAY(EDATE($H$621,$D$635*COUNT($H$621:H627)),3)&lt;5,EDATE($H$621,$D$635*COUNT($H$621:H627)),WORKDAY(EDATE($H$621,$D$635*COUNT($H$621:H627)),1)))</f>
        <v>43983</v>
      </c>
      <c r="I628" s="137" t="s">
        <v>13</v>
      </c>
      <c r="J628" s="52">
        <f t="shared" si="54"/>
        <v>74794.520547945212</v>
      </c>
      <c r="K628" s="52">
        <f>+IF(OR(I628="A + C",I628="A"),$D$634*$D$639,0)</f>
        <v>1000000</v>
      </c>
      <c r="L628" s="53">
        <f t="shared" si="55"/>
        <v>1000000</v>
      </c>
      <c r="M628" s="94">
        <f t="shared" si="56"/>
        <v>1074794.5205479453</v>
      </c>
      <c r="N628" s="25"/>
    </row>
    <row r="629" spans="1:14" ht="15.95" customHeight="1" x14ac:dyDescent="0.25">
      <c r="A629" s="121"/>
      <c r="B629" s="23"/>
      <c r="C629" s="59" t="s">
        <v>51</v>
      </c>
      <c r="D629" s="138" t="s">
        <v>235</v>
      </c>
      <c r="E629" s="36"/>
      <c r="F629" s="36"/>
      <c r="G629" s="89"/>
      <c r="H629" s="51">
        <f>IF(DAY(H628)=DAY($H$621),IF(WEEKDAY(EDATE(H628,$D$635),3)&lt;5,EDATE(H628,$D$635),WORKDAY(EDATE(H628,$D$635),1)),IF(WEEKDAY(EDATE($H$621,$D$635*COUNT($H$621:H628)),3)&lt;5,EDATE($H$621,$D$635*COUNT($H$621:H628)),WORKDAY(EDATE($H$621,$D$635*COUNT($H$621:H628)),1)))</f>
        <v>44166</v>
      </c>
      <c r="I629" s="137" t="s">
        <v>13</v>
      </c>
      <c r="J629" s="52">
        <f t="shared" si="54"/>
        <v>37602.739726027394</v>
      </c>
      <c r="K629" s="52">
        <f>+IF(OR(I629="A + C",I629="A"),$D$634*$D$639,0)</f>
        <v>1000000</v>
      </c>
      <c r="L629" s="53">
        <f t="shared" si="55"/>
        <v>0</v>
      </c>
      <c r="M629" s="94">
        <f t="shared" si="56"/>
        <v>1037602.7397260274</v>
      </c>
      <c r="N629" s="25"/>
    </row>
    <row r="630" spans="1:14" ht="15.95" customHeight="1" x14ac:dyDescent="0.25">
      <c r="A630" s="121"/>
      <c r="B630" s="23"/>
      <c r="C630" s="59" t="s">
        <v>52</v>
      </c>
      <c r="D630" s="138" t="s">
        <v>49</v>
      </c>
      <c r="E630" s="36"/>
      <c r="F630" s="36"/>
      <c r="G630" s="89"/>
      <c r="H630" s="54"/>
      <c r="I630" s="144"/>
      <c r="J630" s="55"/>
      <c r="K630" s="56"/>
      <c r="L630" s="57"/>
      <c r="M630" s="95"/>
      <c r="N630" s="25"/>
    </row>
    <row r="631" spans="1:14" ht="15.95" customHeight="1" x14ac:dyDescent="0.25">
      <c r="A631" s="121"/>
      <c r="B631" s="23"/>
      <c r="C631" s="59" t="s">
        <v>10</v>
      </c>
      <c r="D631" s="139">
        <v>42699</v>
      </c>
      <c r="E631" s="36"/>
      <c r="F631" s="36"/>
      <c r="G631" s="89"/>
      <c r="H631" s="24"/>
      <c r="I631" s="24"/>
      <c r="J631" s="24"/>
      <c r="K631" s="24"/>
      <c r="L631" s="24"/>
      <c r="M631" s="24"/>
      <c r="N631" s="25"/>
    </row>
    <row r="632" spans="1:14" ht="15.95" customHeight="1" x14ac:dyDescent="0.25">
      <c r="A632" s="121"/>
      <c r="B632" s="23"/>
      <c r="C632" s="59" t="s">
        <v>11</v>
      </c>
      <c r="D632" s="139">
        <v>42705</v>
      </c>
      <c r="E632" s="41"/>
      <c r="F632" s="24"/>
      <c r="G632" s="89"/>
      <c r="H632" s="680" t="s">
        <v>43</v>
      </c>
      <c r="I632" s="680"/>
      <c r="J632" s="92">
        <v>0</v>
      </c>
      <c r="K632" s="92"/>
      <c r="L632" s="24"/>
      <c r="M632" s="33"/>
      <c r="N632" s="25"/>
    </row>
    <row r="633" spans="1:14" ht="15.95" customHeight="1" x14ac:dyDescent="0.25">
      <c r="A633" s="121"/>
      <c r="B633" s="23"/>
      <c r="C633" s="59" t="s">
        <v>12</v>
      </c>
      <c r="D633" s="139">
        <v>44166</v>
      </c>
      <c r="E633" s="36"/>
      <c r="F633" s="24"/>
      <c r="G633" s="90"/>
      <c r="H633" s="657"/>
      <c r="I633" s="657"/>
      <c r="J633" s="392"/>
      <c r="K633" s="24"/>
      <c r="L633" s="33"/>
      <c r="M633" s="33"/>
      <c r="N633" s="25"/>
    </row>
    <row r="634" spans="1:14" ht="15.95" customHeight="1" x14ac:dyDescent="0.25">
      <c r="A634" s="121"/>
      <c r="B634" s="23"/>
      <c r="C634" s="59" t="s">
        <v>27</v>
      </c>
      <c r="D634" s="140">
        <v>5000000</v>
      </c>
      <c r="E634" s="43"/>
      <c r="F634" s="24"/>
      <c r="G634" s="90"/>
      <c r="H634" s="24"/>
      <c r="I634" s="24"/>
      <c r="J634" s="24"/>
      <c r="K634" s="24"/>
      <c r="L634" s="24"/>
      <c r="M634" s="24"/>
      <c r="N634" s="25"/>
    </row>
    <row r="635" spans="1:14" ht="15.95" customHeight="1" x14ac:dyDescent="0.25">
      <c r="A635" s="121"/>
      <c r="B635" s="23"/>
      <c r="C635" s="59" t="s">
        <v>26</v>
      </c>
      <c r="D635" s="140">
        <v>6</v>
      </c>
      <c r="E635" s="43"/>
      <c r="F635" s="24"/>
      <c r="G635" s="90"/>
      <c r="H635" s="638" t="s">
        <v>44</v>
      </c>
      <c r="I635" s="639"/>
      <c r="J635" s="639"/>
      <c r="K635" s="639"/>
      <c r="L635" s="639"/>
      <c r="M635" s="640"/>
      <c r="N635" s="25"/>
    </row>
    <row r="636" spans="1:14" ht="15.95" customHeight="1" x14ac:dyDescent="0.25">
      <c r="A636" s="121"/>
      <c r="B636" s="23"/>
      <c r="C636" s="59" t="s">
        <v>19</v>
      </c>
      <c r="D636" s="141" t="s">
        <v>50</v>
      </c>
      <c r="E636" s="43"/>
      <c r="F636" s="24"/>
      <c r="G636" s="90"/>
      <c r="H636" s="23"/>
      <c r="I636" s="24"/>
      <c r="J636" s="24"/>
      <c r="K636" s="24"/>
      <c r="L636" s="24"/>
      <c r="M636" s="25"/>
      <c r="N636" s="25"/>
    </row>
    <row r="637" spans="1:14" ht="15.95" customHeight="1" x14ac:dyDescent="0.25">
      <c r="A637" s="121"/>
      <c r="B637" s="23"/>
      <c r="C637" s="59" t="s">
        <v>14</v>
      </c>
      <c r="D637" s="142">
        <v>7.4999999999999997E-2</v>
      </c>
      <c r="E637" s="44"/>
      <c r="F637" s="24"/>
      <c r="G637" s="90"/>
      <c r="H637" s="23"/>
      <c r="I637" s="24"/>
      <c r="J637" s="24"/>
      <c r="K637" s="24"/>
      <c r="L637" s="24"/>
      <c r="M637" s="25"/>
      <c r="N637" s="25"/>
    </row>
    <row r="638" spans="1:14" ht="15.95" customHeight="1" x14ac:dyDescent="0.25">
      <c r="A638" s="121"/>
      <c r="B638" s="23"/>
      <c r="C638" s="59" t="s">
        <v>64</v>
      </c>
      <c r="D638" s="143">
        <v>0.15</v>
      </c>
      <c r="E638" s="24"/>
      <c r="F638" s="24"/>
      <c r="G638" s="90"/>
      <c r="H638" s="96"/>
      <c r="I638" s="35"/>
      <c r="J638" s="24"/>
      <c r="K638" s="24"/>
      <c r="L638" s="24"/>
      <c r="M638" s="25"/>
      <c r="N638" s="25"/>
    </row>
    <row r="639" spans="1:14" ht="15.95" customHeight="1" x14ac:dyDescent="0.25">
      <c r="A639" s="121"/>
      <c r="B639" s="23"/>
      <c r="C639" s="59" t="s">
        <v>81</v>
      </c>
      <c r="D639" s="143">
        <v>0.2</v>
      </c>
      <c r="E639" s="24"/>
      <c r="F639" s="24"/>
      <c r="G639" s="90"/>
      <c r="H639" s="23"/>
      <c r="I639" s="24"/>
      <c r="J639" s="24"/>
      <c r="K639" s="24"/>
      <c r="L639" s="24"/>
      <c r="M639" s="25"/>
      <c r="N639" s="25"/>
    </row>
    <row r="640" spans="1:14" ht="15.95" customHeight="1" x14ac:dyDescent="0.25">
      <c r="A640" s="121"/>
      <c r="B640" s="23"/>
      <c r="C640" s="63"/>
      <c r="D640" s="145"/>
      <c r="E640" s="24"/>
      <c r="F640" s="24"/>
      <c r="G640" s="90"/>
      <c r="H640" s="23"/>
      <c r="I640" s="24"/>
      <c r="J640" s="24"/>
      <c r="K640" s="24"/>
      <c r="L640" s="24"/>
      <c r="M640" s="25"/>
      <c r="N640" s="25"/>
    </row>
    <row r="641" spans="1:15" ht="20.100000000000001" customHeight="1" x14ac:dyDescent="0.25">
      <c r="A641" s="121"/>
      <c r="B641" s="23"/>
      <c r="C641" s="24"/>
      <c r="D641" s="24"/>
      <c r="E641" s="24"/>
      <c r="F641" s="24"/>
      <c r="G641" s="90"/>
      <c r="H641" s="23"/>
      <c r="I641" s="24"/>
      <c r="J641" s="24"/>
      <c r="K641" s="24"/>
      <c r="L641" s="24"/>
      <c r="M641" s="25"/>
      <c r="N641" s="25"/>
    </row>
    <row r="642" spans="1:15" ht="15.95" customHeight="1" x14ac:dyDescent="0.25">
      <c r="A642" s="121"/>
      <c r="B642" s="23"/>
      <c r="C642" s="24"/>
      <c r="D642" s="24"/>
      <c r="E642" s="24"/>
      <c r="F642" s="24"/>
      <c r="G642" s="90"/>
      <c r="H642" s="23"/>
      <c r="I642" s="24"/>
      <c r="J642" s="24"/>
      <c r="K642" s="24"/>
      <c r="L642" s="24"/>
      <c r="M642" s="25"/>
      <c r="N642" s="25"/>
    </row>
    <row r="643" spans="1:15" ht="15.95" customHeight="1" x14ac:dyDescent="0.25">
      <c r="A643" s="121"/>
      <c r="B643" s="23"/>
      <c r="C643" s="24"/>
      <c r="D643" s="24"/>
      <c r="E643" s="24"/>
      <c r="F643" s="24"/>
      <c r="G643" s="90"/>
      <c r="H643" s="23"/>
      <c r="I643" s="24"/>
      <c r="J643" s="24"/>
      <c r="K643" s="24"/>
      <c r="L643" s="24"/>
      <c r="M643" s="25"/>
      <c r="N643" s="25"/>
      <c r="O643" s="194" t="str">
        <f>+D799</f>
        <v>ON Pyme CNV Garantizada</v>
      </c>
    </row>
    <row r="644" spans="1:15" ht="15.95" customHeight="1" x14ac:dyDescent="0.25">
      <c r="A644" s="121"/>
      <c r="B644" s="23"/>
      <c r="C644" s="24"/>
      <c r="D644" s="24"/>
      <c r="E644" s="24"/>
      <c r="F644" s="24"/>
      <c r="G644" s="90"/>
      <c r="H644" s="23"/>
      <c r="I644" s="24"/>
      <c r="J644" s="24"/>
      <c r="K644" s="24"/>
      <c r="L644" s="24"/>
      <c r="M644" s="25"/>
      <c r="N644" s="25"/>
    </row>
    <row r="645" spans="1:15" ht="15.95" customHeight="1" x14ac:dyDescent="0.25">
      <c r="A645" s="121"/>
      <c r="B645" s="23"/>
      <c r="C645" s="24"/>
      <c r="D645" s="24"/>
      <c r="E645" s="24"/>
      <c r="F645" s="24"/>
      <c r="G645" s="90"/>
      <c r="H645" s="23"/>
      <c r="I645" s="24"/>
      <c r="J645" s="24"/>
      <c r="K645" s="24"/>
      <c r="L645" s="24"/>
      <c r="M645" s="25"/>
      <c r="N645" s="25"/>
      <c r="O645" s="194" t="str">
        <f>+IF(J797="vencida",IF(D799='Reporte - Oscuro'!$C$40,'Reporte - Oscuro'!$C$40&amp;" vencida",IF(D799='Reporte - Oscuro'!$C$41,'Reporte - Oscuro'!$C$41&amp;" vencida",IF(D799='Reporte - Oscuro'!$C$42,'Reporte - Oscuro'!$C$42&amp;" vencida",'Reporte - Oscuro'!$C$43&amp;" vencida"))),D799&amp;" vigente")</f>
        <v>ON Pyme CNV Garantizada vencida</v>
      </c>
    </row>
    <row r="646" spans="1:15" ht="15.95" customHeight="1" x14ac:dyDescent="0.25">
      <c r="A646" s="121"/>
      <c r="B646" s="23"/>
      <c r="C646" s="24"/>
      <c r="D646" s="24"/>
      <c r="E646" s="24"/>
      <c r="F646" s="24"/>
      <c r="G646" s="90"/>
      <c r="H646" s="23"/>
      <c r="I646" s="24"/>
      <c r="J646" s="24"/>
      <c r="K646" s="24"/>
      <c r="L646" s="24"/>
      <c r="M646" s="25"/>
      <c r="N646" s="25"/>
    </row>
    <row r="647" spans="1:15" ht="15.95" customHeight="1" x14ac:dyDescent="0.25">
      <c r="A647" s="121"/>
      <c r="B647" s="23"/>
      <c r="C647" s="24"/>
      <c r="D647" s="24"/>
      <c r="E647" s="24"/>
      <c r="F647" s="24"/>
      <c r="G647" s="90"/>
      <c r="H647" s="26"/>
      <c r="I647" s="27"/>
      <c r="J647" s="27"/>
      <c r="K647" s="27"/>
      <c r="L647" s="27"/>
      <c r="M647" s="28"/>
      <c r="N647" s="25"/>
    </row>
    <row r="648" spans="1:15" ht="15.95" customHeight="1" x14ac:dyDescent="0.25">
      <c r="A648" s="121"/>
      <c r="B648" s="26"/>
      <c r="C648" s="85"/>
      <c r="D648" s="27"/>
      <c r="E648" s="27"/>
      <c r="F648" s="27"/>
      <c r="G648" s="91"/>
      <c r="H648" s="27"/>
      <c r="I648" s="27"/>
      <c r="J648" s="27"/>
      <c r="K648" s="27"/>
      <c r="L648" s="27"/>
      <c r="M648" s="27"/>
      <c r="N648" s="28"/>
    </row>
    <row r="649" spans="1:15" ht="15.95" customHeight="1" x14ac:dyDescent="0.25">
      <c r="A649" s="122" t="s">
        <v>122</v>
      </c>
      <c r="B649" s="683" t="s">
        <v>533</v>
      </c>
      <c r="C649" s="684"/>
      <c r="D649" s="684"/>
      <c r="E649" s="684"/>
      <c r="F649" s="684"/>
      <c r="G649" s="684"/>
      <c r="H649" s="684"/>
      <c r="I649" s="684"/>
      <c r="J649" s="684"/>
      <c r="K649" s="684"/>
      <c r="L649" s="684"/>
      <c r="M649" s="684"/>
      <c r="N649" s="685"/>
    </row>
    <row r="650" spans="1:15" ht="15.95" customHeight="1" x14ac:dyDescent="0.25">
      <c r="A650" s="121"/>
      <c r="B650" s="23"/>
      <c r="C650" s="24"/>
      <c r="D650" s="24"/>
      <c r="E650" s="24"/>
      <c r="F650" s="31"/>
      <c r="G650" s="87"/>
      <c r="H650" s="31"/>
      <c r="I650" s="31"/>
      <c r="J650" s="24"/>
      <c r="K650" s="24"/>
      <c r="L650" s="24"/>
      <c r="M650" s="24"/>
      <c r="N650" s="25"/>
    </row>
    <row r="651" spans="1:15" ht="15.95" customHeight="1" x14ac:dyDescent="0.25">
      <c r="A651" s="121"/>
      <c r="B651" s="23"/>
      <c r="C651" s="638" t="s">
        <v>37</v>
      </c>
      <c r="D651" s="639"/>
      <c r="E651" s="640"/>
      <c r="F651" s="31"/>
      <c r="G651" s="87"/>
      <c r="H651" s="641" t="s">
        <v>28</v>
      </c>
      <c r="I651" s="642"/>
      <c r="J651" s="39">
        <f>L658</f>
        <v>5000000</v>
      </c>
      <c r="K651" s="24"/>
      <c r="L651" s="24"/>
      <c r="M651" s="24"/>
      <c r="N651" s="25"/>
    </row>
    <row r="652" spans="1:15" ht="15.95" customHeight="1" x14ac:dyDescent="0.25">
      <c r="A652" s="121"/>
      <c r="B652" s="23"/>
      <c r="C652" s="58"/>
      <c r="D652" s="664"/>
      <c r="E652" s="665"/>
      <c r="F652" s="31"/>
      <c r="G652" s="87"/>
      <c r="H652" s="645" t="s">
        <v>29</v>
      </c>
      <c r="I652" s="646"/>
      <c r="J652" s="40">
        <f>D670</f>
        <v>45998</v>
      </c>
      <c r="K652" s="24"/>
      <c r="L652" s="24"/>
      <c r="M652" s="24"/>
      <c r="N652" s="25"/>
    </row>
    <row r="653" spans="1:15" ht="15.95" customHeight="1" x14ac:dyDescent="0.25">
      <c r="A653" s="121"/>
      <c r="B653" s="23"/>
      <c r="C653" s="59" t="s">
        <v>25</v>
      </c>
      <c r="D653" s="681"/>
      <c r="E653" s="682"/>
      <c r="F653" s="31"/>
      <c r="G653" s="87"/>
      <c r="H653" s="649" t="s">
        <v>30</v>
      </c>
      <c r="I653" s="650"/>
      <c r="J653" s="42">
        <f>+COUPNCD($M$4,J652,2,2)</f>
        <v>45998</v>
      </c>
      <c r="K653" s="24"/>
      <c r="L653" s="24"/>
      <c r="M653" s="24"/>
      <c r="N653" s="25"/>
    </row>
    <row r="654" spans="1:15" ht="15.95" customHeight="1" x14ac:dyDescent="0.25">
      <c r="A654" s="121"/>
      <c r="B654" s="23"/>
      <c r="C654" s="59" t="s">
        <v>6</v>
      </c>
      <c r="D654" s="681" t="s">
        <v>236</v>
      </c>
      <c r="E654" s="682"/>
      <c r="F654" s="31"/>
      <c r="G654" s="87"/>
      <c r="H654" s="24"/>
      <c r="I654" s="24"/>
      <c r="J654" s="24"/>
      <c r="K654" s="24"/>
      <c r="L654" s="24"/>
      <c r="M654" s="24"/>
      <c r="N654" s="25"/>
    </row>
    <row r="655" spans="1:15" ht="15.95" customHeight="1" x14ac:dyDescent="0.25">
      <c r="A655" s="121"/>
      <c r="B655" s="23"/>
      <c r="C655" s="59" t="s">
        <v>8</v>
      </c>
      <c r="D655" s="681" t="s">
        <v>61</v>
      </c>
      <c r="E655" s="682"/>
      <c r="F655" s="31"/>
      <c r="G655" s="87"/>
      <c r="H655" s="651" t="s">
        <v>41</v>
      </c>
      <c r="I655" s="652"/>
      <c r="J655" s="652"/>
      <c r="K655" s="652"/>
      <c r="L655" s="653"/>
      <c r="M655" s="24"/>
      <c r="N655" s="25"/>
    </row>
    <row r="656" spans="1:15" ht="15.95" customHeight="1" x14ac:dyDescent="0.25">
      <c r="A656" s="121"/>
      <c r="B656" s="23"/>
      <c r="C656" s="59" t="s">
        <v>33</v>
      </c>
      <c r="D656" s="681"/>
      <c r="E656" s="682"/>
      <c r="F656" s="31"/>
      <c r="G656" s="87"/>
      <c r="H656" s="126" t="s">
        <v>0</v>
      </c>
      <c r="I656" s="127" t="s">
        <v>2</v>
      </c>
      <c r="J656" s="127" t="s">
        <v>3</v>
      </c>
      <c r="K656" s="127" t="s">
        <v>4</v>
      </c>
      <c r="L656" s="128" t="s">
        <v>5</v>
      </c>
      <c r="M656" s="127" t="s">
        <v>44</v>
      </c>
      <c r="N656" s="25"/>
    </row>
    <row r="657" spans="1:14" ht="15.95" customHeight="1" x14ac:dyDescent="0.25">
      <c r="A657" s="121"/>
      <c r="B657" s="23"/>
      <c r="C657" s="59" t="s">
        <v>34</v>
      </c>
      <c r="D657" s="681" t="s">
        <v>48</v>
      </c>
      <c r="E657" s="682"/>
      <c r="F657" s="31"/>
      <c r="G657" s="87"/>
      <c r="H657" s="45"/>
      <c r="I657" s="46"/>
      <c r="J657" s="46"/>
      <c r="K657" s="46"/>
      <c r="L657" s="47"/>
      <c r="M657" s="23"/>
      <c r="N657" s="25"/>
    </row>
    <row r="658" spans="1:14" ht="15.95" customHeight="1" x14ac:dyDescent="0.25">
      <c r="A658" s="121"/>
      <c r="B658" s="23"/>
      <c r="C658" s="79" t="s">
        <v>38</v>
      </c>
      <c r="D658" s="130"/>
      <c r="E658" s="131"/>
      <c r="F658" s="31"/>
      <c r="G658" s="87"/>
      <c r="H658" s="48">
        <f>+$D$669</f>
        <v>45267</v>
      </c>
      <c r="I658" s="136"/>
      <c r="J658" s="49"/>
      <c r="K658" s="49"/>
      <c r="L658" s="50">
        <f>+D671</f>
        <v>5000000</v>
      </c>
      <c r="M658" s="93">
        <f>-L658</f>
        <v>-5000000</v>
      </c>
      <c r="N658" s="25"/>
    </row>
    <row r="659" spans="1:14" ht="15.95" customHeight="1" x14ac:dyDescent="0.25">
      <c r="A659" s="121"/>
      <c r="B659" s="23"/>
      <c r="C659" s="59"/>
      <c r="D659" s="132"/>
      <c r="E659" s="133"/>
      <c r="F659" s="31"/>
      <c r="G659" s="87"/>
      <c r="H659" s="51">
        <v>45450</v>
      </c>
      <c r="I659" s="137" t="s">
        <v>7</v>
      </c>
      <c r="J659" s="52">
        <f t="shared" ref="J659:J666" si="57">+(($D$637/365)*(H659-H658))*L658</f>
        <v>188013.69863013696</v>
      </c>
      <c r="K659" s="52">
        <f>+IF(OR(I659="A + C",I659="A"),$L$621*$D$638,0)</f>
        <v>0</v>
      </c>
      <c r="L659" s="53">
        <f t="shared" ref="L659:L666" si="58">+L658-K659</f>
        <v>5000000</v>
      </c>
      <c r="M659" s="94">
        <f t="shared" ref="M659:M666" si="59">+J659+K659</f>
        <v>188013.69863013696</v>
      </c>
      <c r="N659" s="25"/>
    </row>
    <row r="660" spans="1:14" ht="15.95" customHeight="1" x14ac:dyDescent="0.25">
      <c r="A660" s="121"/>
      <c r="B660" s="23"/>
      <c r="C660" s="60"/>
      <c r="D660" s="134"/>
      <c r="E660" s="135"/>
      <c r="F660" s="34"/>
      <c r="G660" s="88"/>
      <c r="H660" s="51">
        <v>45633</v>
      </c>
      <c r="I660" s="137" t="s">
        <v>7</v>
      </c>
      <c r="J660" s="52">
        <f t="shared" si="57"/>
        <v>188013.69863013696</v>
      </c>
      <c r="K660" s="52">
        <f>+IF(OR(I660="A + C",I660="A"),$D$634*$D$638,0)</f>
        <v>0</v>
      </c>
      <c r="L660" s="53">
        <f t="shared" si="58"/>
        <v>5000000</v>
      </c>
      <c r="M660" s="94">
        <f t="shared" si="59"/>
        <v>188013.69863013696</v>
      </c>
      <c r="N660" s="25"/>
    </row>
    <row r="661" spans="1:14" ht="15.95" customHeight="1" x14ac:dyDescent="0.25">
      <c r="A661" s="121"/>
      <c r="B661" s="23"/>
      <c r="C661" s="60"/>
      <c r="D661" s="55" t="str">
        <f>B649</f>
        <v>Edisur I Garantizada</v>
      </c>
      <c r="E661" s="64"/>
      <c r="F661" s="34"/>
      <c r="G661" s="88">
        <f>J651</f>
        <v>5000000</v>
      </c>
      <c r="H661" s="51">
        <v>45815</v>
      </c>
      <c r="I661" s="137" t="s">
        <v>13</v>
      </c>
      <c r="J661" s="52">
        <f t="shared" si="57"/>
        <v>186986.30136986301</v>
      </c>
      <c r="K661" s="52">
        <f>+IF(OR(I661="A + C",I661="A"),$D$634*$D$638,0)</f>
        <v>750000</v>
      </c>
      <c r="L661" s="53">
        <f t="shared" si="58"/>
        <v>4250000</v>
      </c>
      <c r="M661" s="94">
        <f t="shared" si="59"/>
        <v>936986.30136986298</v>
      </c>
      <c r="N661" s="25"/>
    </row>
    <row r="662" spans="1:14" ht="15.95" customHeight="1" x14ac:dyDescent="0.25">
      <c r="A662" s="121"/>
      <c r="B662" s="32"/>
      <c r="D662" s="644"/>
      <c r="E662" s="660"/>
      <c r="F662" s="34"/>
      <c r="G662" s="88"/>
      <c r="H662" s="51">
        <v>45998</v>
      </c>
      <c r="I662" s="137" t="s">
        <v>13</v>
      </c>
      <c r="J662" s="52">
        <f t="shared" si="57"/>
        <v>159811.64383561641</v>
      </c>
      <c r="K662" s="52">
        <f>+IF(OR(I662="A + C",I662="A"),$D$634*$D$638,0)</f>
        <v>750000</v>
      </c>
      <c r="L662" s="53">
        <f t="shared" si="58"/>
        <v>3500000</v>
      </c>
      <c r="M662" s="94">
        <f t="shared" si="59"/>
        <v>909811.64383561641</v>
      </c>
      <c r="N662" s="25"/>
    </row>
    <row r="663" spans="1:14" ht="15.95" customHeight="1" x14ac:dyDescent="0.25">
      <c r="A663" s="121"/>
      <c r="B663" s="23"/>
      <c r="C663" s="638" t="s">
        <v>36</v>
      </c>
      <c r="D663" s="640"/>
      <c r="E663" s="36"/>
      <c r="F663" s="34"/>
      <c r="G663" s="88"/>
      <c r="H663" s="51">
        <v>46180</v>
      </c>
      <c r="I663" s="137" t="s">
        <v>13</v>
      </c>
      <c r="J663" s="52">
        <f t="shared" si="57"/>
        <v>130890.41095890412</v>
      </c>
      <c r="K663" s="52">
        <f>+IF(OR(I663="A + C",I663="A"),$D$634*$D$638,0)</f>
        <v>750000</v>
      </c>
      <c r="L663" s="53">
        <f t="shared" si="58"/>
        <v>2750000</v>
      </c>
      <c r="M663" s="94">
        <f t="shared" si="59"/>
        <v>880890.41095890407</v>
      </c>
      <c r="N663" s="25"/>
    </row>
    <row r="664" spans="1:14" ht="15.95" customHeight="1" x14ac:dyDescent="0.25">
      <c r="A664" s="121"/>
      <c r="B664" s="23"/>
      <c r="C664" s="59"/>
      <c r="D664" s="62"/>
      <c r="E664" s="36"/>
      <c r="F664" s="36"/>
      <c r="G664" s="89"/>
      <c r="H664" s="51">
        <v>46363</v>
      </c>
      <c r="I664" s="137" t="s">
        <v>13</v>
      </c>
      <c r="J664" s="52">
        <f t="shared" si="57"/>
        <v>103407.53424657533</v>
      </c>
      <c r="K664" s="52">
        <f>+IF(OR(I664="A + C",I664="A"),$D$634*$D$638,0)</f>
        <v>750000</v>
      </c>
      <c r="L664" s="53">
        <f t="shared" si="58"/>
        <v>2000000</v>
      </c>
      <c r="M664" s="94">
        <f t="shared" si="59"/>
        <v>853407.53424657532</v>
      </c>
      <c r="N664" s="25"/>
    </row>
    <row r="665" spans="1:14" ht="15.95" customHeight="1" x14ac:dyDescent="0.25">
      <c r="A665" s="121"/>
      <c r="B665" s="23"/>
      <c r="C665" s="59" t="s">
        <v>9</v>
      </c>
      <c r="D665" s="129" t="s">
        <v>49</v>
      </c>
      <c r="E665" s="36"/>
      <c r="F665" s="36"/>
      <c r="G665" s="89"/>
      <c r="H665" s="51">
        <v>46545</v>
      </c>
      <c r="I665" s="137" t="s">
        <v>13</v>
      </c>
      <c r="J665" s="52">
        <f t="shared" si="57"/>
        <v>74794.520547945212</v>
      </c>
      <c r="K665" s="52">
        <f>+IF(OR(I665="A + C",I665="A"),$D$634*$D$639,0)</f>
        <v>1000000</v>
      </c>
      <c r="L665" s="53">
        <f t="shared" si="58"/>
        <v>1000000</v>
      </c>
      <c r="M665" s="94">
        <f t="shared" si="59"/>
        <v>1074794.5205479453</v>
      </c>
      <c r="N665" s="25"/>
    </row>
    <row r="666" spans="1:14" ht="15.95" customHeight="1" x14ac:dyDescent="0.25">
      <c r="A666" s="121"/>
      <c r="B666" s="23"/>
      <c r="C666" s="59" t="s">
        <v>51</v>
      </c>
      <c r="D666" s="138" t="s">
        <v>49</v>
      </c>
      <c r="E666" s="36"/>
      <c r="F666" s="36"/>
      <c r="G666" s="89"/>
      <c r="H666" s="51">
        <v>46728</v>
      </c>
      <c r="I666" s="137" t="s">
        <v>13</v>
      </c>
      <c r="J666" s="52">
        <f t="shared" si="57"/>
        <v>37602.739726027394</v>
      </c>
      <c r="K666" s="52">
        <f>+IF(OR(I666="A + C",I666="A"),$D$634*$D$639,0)</f>
        <v>1000000</v>
      </c>
      <c r="L666" s="53">
        <f t="shared" si="58"/>
        <v>0</v>
      </c>
      <c r="M666" s="94">
        <f t="shared" si="59"/>
        <v>1037602.7397260274</v>
      </c>
      <c r="N666" s="25"/>
    </row>
    <row r="667" spans="1:14" ht="15.95" customHeight="1" x14ac:dyDescent="0.25">
      <c r="A667" s="121"/>
      <c r="B667" s="23"/>
      <c r="C667" s="59" t="s">
        <v>52</v>
      </c>
      <c r="D667" s="138" t="s">
        <v>49</v>
      </c>
      <c r="E667" s="36"/>
      <c r="F667" s="36"/>
      <c r="G667" s="89"/>
      <c r="H667" s="54"/>
      <c r="I667" s="144"/>
      <c r="J667" s="55"/>
      <c r="K667" s="56"/>
      <c r="L667" s="57"/>
      <c r="M667" s="95"/>
      <c r="N667" s="25"/>
    </row>
    <row r="668" spans="1:14" ht="15.95" customHeight="1" x14ac:dyDescent="0.25">
      <c r="A668" s="121"/>
      <c r="B668" s="23"/>
      <c r="C668" s="59" t="s">
        <v>10</v>
      </c>
      <c r="D668" s="139">
        <v>45265</v>
      </c>
      <c r="E668" s="36"/>
      <c r="F668" s="36"/>
      <c r="G668" s="89"/>
      <c r="H668" s="24"/>
      <c r="I668" s="24"/>
      <c r="J668" s="24"/>
      <c r="K668" s="24"/>
      <c r="L668" s="24"/>
      <c r="M668" s="24"/>
      <c r="N668" s="25"/>
    </row>
    <row r="669" spans="1:14" ht="15.95" customHeight="1" x14ac:dyDescent="0.25">
      <c r="A669" s="121"/>
      <c r="B669" s="23"/>
      <c r="C669" s="59" t="s">
        <v>11</v>
      </c>
      <c r="D669" s="139">
        <v>45267</v>
      </c>
      <c r="E669" s="41"/>
      <c r="F669" s="24"/>
      <c r="G669" s="89"/>
      <c r="H669" s="680" t="s">
        <v>43</v>
      </c>
      <c r="I669" s="680"/>
      <c r="J669" s="92">
        <f>+J651+(L661*D674)*($M$4-H661)/365</f>
        <v>5046866.4383561648</v>
      </c>
      <c r="K669" s="92"/>
      <c r="L669" s="24"/>
      <c r="M669" s="33"/>
      <c r="N669" s="25"/>
    </row>
    <row r="670" spans="1:14" ht="15.95" customHeight="1" x14ac:dyDescent="0.25">
      <c r="A670" s="121"/>
      <c r="B670" s="23"/>
      <c r="C670" s="59" t="s">
        <v>12</v>
      </c>
      <c r="D670" s="139">
        <v>45998</v>
      </c>
      <c r="E670" s="36"/>
      <c r="F670" s="24"/>
      <c r="G670" s="90"/>
      <c r="H670" s="657"/>
      <c r="I670" s="657"/>
      <c r="J670" s="392"/>
      <c r="K670" s="24"/>
      <c r="L670" s="33"/>
      <c r="M670" s="33"/>
      <c r="N670" s="25"/>
    </row>
    <row r="671" spans="1:14" ht="15.95" customHeight="1" x14ac:dyDescent="0.25">
      <c r="A671" s="121"/>
      <c r="B671" s="23"/>
      <c r="C671" s="59" t="s">
        <v>27</v>
      </c>
      <c r="D671" s="140">
        <v>5000000</v>
      </c>
      <c r="E671" s="43"/>
      <c r="F671" s="24"/>
      <c r="G671" s="90"/>
      <c r="H671" s="24"/>
      <c r="I671" s="24"/>
      <c r="J671" s="24"/>
      <c r="K671" s="24"/>
      <c r="L671" s="24"/>
      <c r="M671" s="24"/>
      <c r="N671" s="25"/>
    </row>
    <row r="672" spans="1:14" ht="15.95" customHeight="1" x14ac:dyDescent="0.25">
      <c r="A672" s="121"/>
      <c r="B672" s="23"/>
      <c r="C672" s="59" t="s">
        <v>26</v>
      </c>
      <c r="D672" s="140">
        <v>6</v>
      </c>
      <c r="E672" s="43"/>
      <c r="F672" s="24"/>
      <c r="G672" s="90"/>
      <c r="H672" s="638" t="s">
        <v>44</v>
      </c>
      <c r="I672" s="639"/>
      <c r="J672" s="639"/>
      <c r="K672" s="639"/>
      <c r="L672" s="639"/>
      <c r="M672" s="640"/>
      <c r="N672" s="25"/>
    </row>
    <row r="673" spans="1:15" ht="15.95" customHeight="1" x14ac:dyDescent="0.25">
      <c r="A673" s="121"/>
      <c r="B673" s="23"/>
      <c r="C673" s="59" t="s">
        <v>19</v>
      </c>
      <c r="D673" s="141" t="s">
        <v>50</v>
      </c>
      <c r="E673" s="43"/>
      <c r="F673" s="24"/>
      <c r="G673" s="90"/>
      <c r="H673" s="23"/>
      <c r="I673" s="24"/>
      <c r="J673" s="24"/>
      <c r="K673" s="24"/>
      <c r="L673" s="24"/>
      <c r="M673" s="25"/>
      <c r="N673" s="25"/>
    </row>
    <row r="674" spans="1:15" ht="15.95" customHeight="1" x14ac:dyDescent="0.25">
      <c r="A674" s="121"/>
      <c r="B674" s="23"/>
      <c r="C674" s="59" t="s">
        <v>14</v>
      </c>
      <c r="D674" s="142">
        <v>8.7499999999999994E-2</v>
      </c>
      <c r="E674" s="44"/>
      <c r="F674" s="24"/>
      <c r="G674" s="90"/>
      <c r="H674" s="23"/>
      <c r="I674" s="24"/>
      <c r="J674" s="24"/>
      <c r="K674" s="24"/>
      <c r="L674" s="24"/>
      <c r="M674" s="25"/>
      <c r="N674" s="25"/>
    </row>
    <row r="675" spans="1:15" ht="15.95" customHeight="1" x14ac:dyDescent="0.25">
      <c r="A675" s="121"/>
      <c r="B675" s="23"/>
      <c r="C675" s="59" t="s">
        <v>64</v>
      </c>
      <c r="D675" s="143">
        <v>0.15</v>
      </c>
      <c r="E675" s="24"/>
      <c r="F675" s="24"/>
      <c r="G675" s="90"/>
      <c r="H675" s="96"/>
      <c r="I675" s="35"/>
      <c r="J675" s="24"/>
      <c r="K675" s="24"/>
      <c r="L675" s="24"/>
      <c r="M675" s="25"/>
      <c r="N675" s="25"/>
    </row>
    <row r="676" spans="1:15" ht="15.95" customHeight="1" x14ac:dyDescent="0.25">
      <c r="A676" s="121"/>
      <c r="B676" s="23"/>
      <c r="C676" s="59" t="s">
        <v>81</v>
      </c>
      <c r="D676" s="143">
        <v>0.2</v>
      </c>
      <c r="E676" s="24"/>
      <c r="F676" s="24"/>
      <c r="G676" s="90"/>
      <c r="H676" s="23"/>
      <c r="I676" s="24"/>
      <c r="J676" s="24"/>
      <c r="K676" s="24"/>
      <c r="L676" s="24"/>
      <c r="M676" s="25"/>
      <c r="N676" s="25"/>
    </row>
    <row r="677" spans="1:15" ht="15.95" customHeight="1" x14ac:dyDescent="0.25">
      <c r="A677" s="121"/>
      <c r="B677" s="23"/>
      <c r="C677" s="63"/>
      <c r="D677" s="145"/>
      <c r="E677" s="24"/>
      <c r="F677" s="24"/>
      <c r="G677" s="90"/>
      <c r="H677" s="23"/>
      <c r="I677" s="24"/>
      <c r="J677" s="24"/>
      <c r="K677" s="24"/>
      <c r="L677" s="24"/>
      <c r="M677" s="25"/>
      <c r="N677" s="25"/>
    </row>
    <row r="678" spans="1:15" ht="15.95" customHeight="1" x14ac:dyDescent="0.25">
      <c r="A678" s="121"/>
      <c r="B678" s="23"/>
      <c r="C678" s="24"/>
      <c r="D678" s="24"/>
      <c r="E678" s="24"/>
      <c r="F678" s="24"/>
      <c r="G678" s="90"/>
      <c r="H678" s="23"/>
      <c r="I678" s="24"/>
      <c r="J678" s="24"/>
      <c r="K678" s="24"/>
      <c r="L678" s="24"/>
      <c r="M678" s="25"/>
      <c r="N678" s="25"/>
    </row>
    <row r="679" spans="1:15" ht="15.95" customHeight="1" x14ac:dyDescent="0.25">
      <c r="A679" s="121"/>
      <c r="B679" s="23"/>
      <c r="C679" s="24"/>
      <c r="D679" s="24"/>
      <c r="E679" s="24"/>
      <c r="F679" s="24"/>
      <c r="G679" s="90"/>
      <c r="H679" s="23"/>
      <c r="I679" s="24"/>
      <c r="J679" s="24"/>
      <c r="K679" s="24"/>
      <c r="L679" s="24"/>
      <c r="M679" s="25"/>
      <c r="N679" s="25"/>
    </row>
    <row r="680" spans="1:15" ht="15.95" customHeight="1" x14ac:dyDescent="0.25">
      <c r="A680" s="121"/>
      <c r="B680" s="23"/>
      <c r="C680" s="24"/>
      <c r="D680" s="24"/>
      <c r="E680" s="24"/>
      <c r="F680" s="24"/>
      <c r="G680" s="90"/>
      <c r="H680" s="23"/>
      <c r="I680" s="24"/>
      <c r="J680" s="24"/>
      <c r="K680" s="24"/>
      <c r="L680" s="24"/>
      <c r="M680" s="25"/>
      <c r="N680" s="25"/>
    </row>
    <row r="681" spans="1:15" ht="15.95" customHeight="1" x14ac:dyDescent="0.25">
      <c r="A681" s="121"/>
      <c r="B681" s="23"/>
      <c r="C681" s="24"/>
      <c r="D681" s="24"/>
      <c r="E681" s="24"/>
      <c r="F681" s="24"/>
      <c r="G681" s="90"/>
      <c r="H681" s="23"/>
      <c r="I681" s="24"/>
      <c r="J681" s="24"/>
      <c r="K681" s="24"/>
      <c r="L681" s="24"/>
      <c r="M681" s="25"/>
      <c r="N681" s="25"/>
    </row>
    <row r="682" spans="1:15" ht="15.95" customHeight="1" x14ac:dyDescent="0.25">
      <c r="A682" s="121"/>
      <c r="B682" s="23"/>
      <c r="C682" s="24"/>
      <c r="D682" s="24"/>
      <c r="E682" s="24"/>
      <c r="F682" s="24"/>
      <c r="G682" s="90"/>
      <c r="H682" s="23"/>
      <c r="I682" s="24"/>
      <c r="J682" s="24"/>
      <c r="K682" s="24"/>
      <c r="L682" s="24"/>
      <c r="M682" s="25"/>
      <c r="N682" s="25"/>
    </row>
    <row r="683" spans="1:15" ht="15.95" customHeight="1" x14ac:dyDescent="0.25">
      <c r="A683" s="121"/>
      <c r="B683" s="23"/>
      <c r="C683" s="24"/>
      <c r="D683" s="24"/>
      <c r="E683" s="24"/>
      <c r="F683" s="24"/>
      <c r="G683" s="90"/>
      <c r="H683" s="23"/>
      <c r="I683" s="24"/>
      <c r="J683" s="24"/>
      <c r="K683" s="24"/>
      <c r="L683" s="24"/>
      <c r="M683" s="25"/>
      <c r="N683" s="25"/>
    </row>
    <row r="684" spans="1:15" ht="15.95" customHeight="1" x14ac:dyDescent="0.25">
      <c r="A684" s="121"/>
      <c r="B684" s="23"/>
      <c r="C684" s="24"/>
      <c r="D684" s="24"/>
      <c r="E684" s="24"/>
      <c r="F684" s="24"/>
      <c r="G684" s="90"/>
      <c r="H684" s="26"/>
      <c r="I684" s="27"/>
      <c r="J684" s="27"/>
      <c r="K684" s="27"/>
      <c r="L684" s="27"/>
      <c r="M684" s="28"/>
      <c r="N684" s="25"/>
    </row>
    <row r="685" spans="1:15" ht="15.95" customHeight="1" x14ac:dyDescent="0.25">
      <c r="A685" s="121"/>
      <c r="B685" s="26"/>
      <c r="C685" s="85"/>
      <c r="D685" s="27"/>
      <c r="E685" s="27"/>
      <c r="F685" s="27"/>
      <c r="G685" s="91"/>
      <c r="H685" s="27"/>
      <c r="I685" s="27"/>
      <c r="J685" s="27"/>
      <c r="K685" s="27"/>
      <c r="L685" s="27"/>
      <c r="M685" s="27"/>
      <c r="N685" s="28"/>
    </row>
    <row r="686" spans="1:15" ht="15.95" customHeight="1" x14ac:dyDescent="0.25">
      <c r="A686" s="121"/>
      <c r="B686" s="23"/>
      <c r="D686" s="24"/>
      <c r="E686" s="24"/>
      <c r="F686" s="24"/>
      <c r="G686" s="24"/>
      <c r="H686" s="24"/>
      <c r="I686" s="24"/>
      <c r="J686" s="24"/>
      <c r="K686" s="24"/>
      <c r="L686" s="24"/>
      <c r="M686" s="24"/>
      <c r="N686" s="25"/>
    </row>
    <row r="687" spans="1:15" ht="15.95" customHeight="1" x14ac:dyDescent="0.25">
      <c r="A687" s="121"/>
      <c r="B687" s="683" t="s">
        <v>149</v>
      </c>
      <c r="C687" s="684"/>
      <c r="D687" s="684"/>
      <c r="E687" s="684"/>
      <c r="F687" s="684"/>
      <c r="G687" s="684"/>
      <c r="H687" s="684"/>
      <c r="I687" s="684"/>
      <c r="J687" s="684"/>
      <c r="K687" s="684"/>
      <c r="L687" s="684"/>
      <c r="M687" s="684"/>
      <c r="N687" s="685"/>
      <c r="O687" s="97">
        <f>+M802</f>
        <v>-600000</v>
      </c>
    </row>
    <row r="688" spans="1:15" ht="15.95" customHeight="1" x14ac:dyDescent="0.25">
      <c r="A688" s="121"/>
      <c r="B688" s="23"/>
      <c r="C688" s="24"/>
      <c r="D688" s="24"/>
      <c r="E688" s="24"/>
      <c r="F688" s="31"/>
      <c r="G688" s="87"/>
      <c r="H688" s="31"/>
      <c r="I688" s="31"/>
      <c r="J688" s="24"/>
      <c r="K688" s="24"/>
      <c r="L688" s="24"/>
      <c r="M688" s="24"/>
      <c r="N688" s="25"/>
      <c r="O688" s="97">
        <f t="shared" ref="O688:O693" si="60">+M803+O687</f>
        <v>-580339.72602739721</v>
      </c>
    </row>
    <row r="689" spans="1:15" ht="15.95" customHeight="1" x14ac:dyDescent="0.25">
      <c r="A689" s="121"/>
      <c r="B689" s="23"/>
      <c r="C689" s="638" t="s">
        <v>37</v>
      </c>
      <c r="D689" s="639"/>
      <c r="E689" s="640"/>
      <c r="F689" s="31"/>
      <c r="G689" s="87"/>
      <c r="H689" s="641" t="s">
        <v>28</v>
      </c>
      <c r="I689" s="642"/>
      <c r="J689" s="39">
        <f>+$D$709-SUMIF($H$695:$H$702,"&lt;"&amp;$M$4,$K$695:$K$702)</f>
        <v>0</v>
      </c>
      <c r="K689" s="24"/>
      <c r="L689" s="24"/>
      <c r="M689" s="24"/>
      <c r="N689" s="25"/>
      <c r="O689" s="97">
        <f t="shared" si="60"/>
        <v>-561000</v>
      </c>
    </row>
    <row r="690" spans="1:15" ht="15.95" customHeight="1" x14ac:dyDescent="0.25">
      <c r="A690" s="121"/>
      <c r="B690" s="23"/>
      <c r="C690" s="58"/>
      <c r="D690" s="664"/>
      <c r="E690" s="665"/>
      <c r="F690" s="31"/>
      <c r="G690" s="87"/>
      <c r="H690" s="645" t="s">
        <v>29</v>
      </c>
      <c r="I690" s="646"/>
      <c r="J690" s="40">
        <f>+$D$708</f>
        <v>44065</v>
      </c>
      <c r="K690" s="24"/>
      <c r="L690" s="24"/>
      <c r="M690" s="24"/>
      <c r="N690" s="25"/>
      <c r="O690" s="97">
        <f t="shared" si="60"/>
        <v>-391339.72602739726</v>
      </c>
    </row>
    <row r="691" spans="1:15" ht="15.95" customHeight="1" x14ac:dyDescent="0.25">
      <c r="A691" s="121"/>
      <c r="B691" s="23"/>
      <c r="C691" s="59" t="s">
        <v>25</v>
      </c>
      <c r="D691" s="681"/>
      <c r="E691" s="682"/>
      <c r="F691" s="31"/>
      <c r="G691" s="87"/>
      <c r="H691" s="649" t="s">
        <v>30</v>
      </c>
      <c r="I691" s="650"/>
      <c r="J691" s="42" t="str">
        <f t="array" ref="J691">+IF(H700&gt;=M4,MIN(IF($H$695:$H$701&gt;$M$4,$H$695:$H$701,"")),"vencida")</f>
        <v>vencida</v>
      </c>
      <c r="K691" s="24"/>
      <c r="L691" s="24"/>
      <c r="M691" s="24"/>
      <c r="N691" s="25"/>
      <c r="O691" s="97">
        <f t="shared" si="60"/>
        <v>-226754.79452054796</v>
      </c>
    </row>
    <row r="692" spans="1:15" ht="15.95" customHeight="1" x14ac:dyDescent="0.25">
      <c r="A692" s="121"/>
      <c r="B692" s="23"/>
      <c r="C692" s="59" t="s">
        <v>6</v>
      </c>
      <c r="D692" s="681" t="s">
        <v>274</v>
      </c>
      <c r="E692" s="682"/>
      <c r="F692" s="31"/>
      <c r="G692" s="87"/>
      <c r="H692" s="24"/>
      <c r="I692" s="24"/>
      <c r="J692" s="24"/>
      <c r="K692" s="24"/>
      <c r="L692" s="24"/>
      <c r="M692" s="24"/>
      <c r="N692" s="25"/>
      <c r="O692" s="97">
        <f t="shared" si="60"/>
        <v>-66871.23287671234</v>
      </c>
    </row>
    <row r="693" spans="1:15" ht="15.95" customHeight="1" x14ac:dyDescent="0.25">
      <c r="A693" s="121"/>
      <c r="B693" s="23"/>
      <c r="C693" s="59" t="s">
        <v>8</v>
      </c>
      <c r="D693" s="681" t="s">
        <v>17</v>
      </c>
      <c r="E693" s="682"/>
      <c r="F693" s="31"/>
      <c r="G693" s="87"/>
      <c r="H693" s="677" t="s">
        <v>41</v>
      </c>
      <c r="I693" s="678"/>
      <c r="J693" s="678"/>
      <c r="K693" s="678"/>
      <c r="L693" s="679"/>
      <c r="M693" s="24"/>
      <c r="N693" s="25"/>
      <c r="O693" s="97">
        <f t="shared" si="60"/>
        <v>87990.410958904104</v>
      </c>
    </row>
    <row r="694" spans="1:15" ht="15.95" customHeight="1" x14ac:dyDescent="0.25">
      <c r="A694" s="121"/>
      <c r="B694" s="23"/>
      <c r="C694" s="59" t="s">
        <v>33</v>
      </c>
      <c r="D694" s="132" t="s">
        <v>309</v>
      </c>
      <c r="E694" s="274">
        <v>1</v>
      </c>
      <c r="F694" s="281">
        <f>+E694*J689</f>
        <v>0</v>
      </c>
      <c r="G694" s="87"/>
      <c r="H694" s="146" t="s">
        <v>0</v>
      </c>
      <c r="I694" s="147" t="s">
        <v>2</v>
      </c>
      <c r="J694" s="147" t="s">
        <v>3</v>
      </c>
      <c r="K694" s="147" t="s">
        <v>4</v>
      </c>
      <c r="L694" s="148" t="s">
        <v>5</v>
      </c>
      <c r="M694" s="148" t="s">
        <v>44</v>
      </c>
      <c r="N694" s="25"/>
      <c r="O694" s="97"/>
    </row>
    <row r="695" spans="1:15" ht="15.95" customHeight="1" x14ac:dyDescent="0.25">
      <c r="A695" s="121"/>
      <c r="B695" s="23"/>
      <c r="C695" s="59" t="s">
        <v>34</v>
      </c>
      <c r="D695" s="681" t="s">
        <v>48</v>
      </c>
      <c r="E695" s="682"/>
      <c r="F695" s="31"/>
      <c r="G695" s="87"/>
      <c r="H695" s="45"/>
      <c r="I695" s="46"/>
      <c r="J695" s="46"/>
      <c r="K695" s="46"/>
      <c r="L695" s="47"/>
      <c r="M695" s="101"/>
      <c r="N695" s="25"/>
    </row>
    <row r="696" spans="1:15" ht="15.95" customHeight="1" x14ac:dyDescent="0.25">
      <c r="A696" s="121"/>
      <c r="B696" s="23"/>
      <c r="C696" s="79" t="s">
        <v>38</v>
      </c>
      <c r="D696" s="130"/>
      <c r="E696" s="131"/>
      <c r="F696" s="31"/>
      <c r="G696" s="87"/>
      <c r="H696" s="48">
        <f>+$D$707</f>
        <v>43334</v>
      </c>
      <c r="I696" s="136"/>
      <c r="J696" s="49"/>
      <c r="K696" s="49"/>
      <c r="L696" s="50">
        <f>+D709</f>
        <v>145000</v>
      </c>
      <c r="M696" s="102">
        <f>-L696</f>
        <v>-145000</v>
      </c>
      <c r="N696" s="25"/>
    </row>
    <row r="697" spans="1:15" ht="15.95" customHeight="1" x14ac:dyDescent="0.25">
      <c r="A697" s="121"/>
      <c r="B697" s="23"/>
      <c r="C697" s="59"/>
      <c r="D697" s="132"/>
      <c r="E697" s="133"/>
      <c r="F697" s="31"/>
      <c r="G697" s="87"/>
      <c r="H697" s="51">
        <f>IF(DAY(H696)=DAY($H$696),IF(WEEKDAY(EDATE(H696,$D$710),3)&lt;5,EDATE(H696,$D$710),WORKDAY(EDATE(H696,$D$710),1)),IF(WEEKDAY(EDATE($H$696,$D$710*COUNT($H$696:H696)),3)&lt;5,EDATE($H$696,$D$710*COUNT($H$696:H696)),WORKDAY(EDATE($H$696,$D$710*COUNT($H$696:H696)),1)))</f>
        <v>43518</v>
      </c>
      <c r="I697" s="137" t="s">
        <v>13</v>
      </c>
      <c r="J697" s="52">
        <f>+(($D$712/365)*(H697-H696))*L696</f>
        <v>6066.9589041095896</v>
      </c>
      <c r="K697" s="52">
        <f>+IF(OR(I697="A + C",I697="A"),$L$696*$D$713,0)</f>
        <v>36250</v>
      </c>
      <c r="L697" s="53">
        <f>+L696-K697</f>
        <v>108750</v>
      </c>
      <c r="M697" s="103">
        <f>+J697+K697</f>
        <v>42316.95890410959</v>
      </c>
      <c r="N697" s="25"/>
    </row>
    <row r="698" spans="1:15" ht="15.95" customHeight="1" x14ac:dyDescent="0.25">
      <c r="A698" s="121"/>
      <c r="B698" s="23"/>
      <c r="C698" s="60"/>
      <c r="D698" s="134"/>
      <c r="E698" s="135"/>
      <c r="F698" s="34"/>
      <c r="G698" s="88"/>
      <c r="H698" s="51">
        <f>IF(DAY(H697)=DAY($H$696),IF(WEEKDAY(EDATE(H697,$D$710),3)&lt;5,EDATE(H697,$D$710),WORKDAY(EDATE(H697,$D$710),1)),IF(WEEKDAY(EDATE($H$696,$D$710*COUNT($H$696:H697)),3)&lt;5,EDATE($H$696,$D$710*COUNT($H$696:H697)),WORKDAY(EDATE($H$696,$D$710*COUNT($H$696:H697)),1)))</f>
        <v>43699</v>
      </c>
      <c r="I698" s="137" t="s">
        <v>13</v>
      </c>
      <c r="J698" s="52">
        <f>+(($D$712/365)*(H698-H697))*L697</f>
        <v>4476.0308219178087</v>
      </c>
      <c r="K698" s="52">
        <f>+IF(OR(I698="A + C",I698="A"),$D$709*$D$713,0)</f>
        <v>36250</v>
      </c>
      <c r="L698" s="53">
        <f>+L697-K698</f>
        <v>72500</v>
      </c>
      <c r="M698" s="103">
        <f>+J698+K698</f>
        <v>40726.030821917811</v>
      </c>
      <c r="N698" s="25"/>
    </row>
    <row r="699" spans="1:15" ht="15.95" customHeight="1" x14ac:dyDescent="0.25">
      <c r="A699" s="121"/>
      <c r="B699" s="23"/>
      <c r="C699" s="60"/>
      <c r="D699" s="55" t="str">
        <f>B687</f>
        <v>El Calden I</v>
      </c>
      <c r="E699" s="64"/>
      <c r="F699" s="34"/>
      <c r="G699" s="88">
        <f>J689</f>
        <v>0</v>
      </c>
      <c r="H699" s="51">
        <f>IF(DAY(H698)=DAY($H$696),IF(WEEKDAY(EDATE(H698,$D$710),3)&lt;5,EDATE(H698,$D$710),WORKDAY(EDATE(H698,$D$710),1)),IF(WEEKDAY(EDATE($H$696,$D$710*COUNT($H$696:H698)),3)&lt;5,EDATE($H$696,$D$710*COUNT($H$696:H698)),WORKDAY(EDATE($H$696,$D$710*COUNT($H$696:H698)),1)))</f>
        <v>43885</v>
      </c>
      <c r="I699" s="137" t="s">
        <v>13</v>
      </c>
      <c r="J699" s="52">
        <f>+(($D$712/365)*(H699-H698))*L698</f>
        <v>3066.4520547945208</v>
      </c>
      <c r="K699" s="52">
        <f>+IF(OR(I699="A + C",I699="A"),$D$709*$D$713,0)</f>
        <v>36250</v>
      </c>
      <c r="L699" s="53">
        <f>+L698-K699</f>
        <v>36250</v>
      </c>
      <c r="M699" s="103">
        <f>+J699+K699</f>
        <v>39316.452054794521</v>
      </c>
      <c r="N699" s="25"/>
    </row>
    <row r="700" spans="1:15" ht="15.95" customHeight="1" x14ac:dyDescent="0.25">
      <c r="A700" s="121"/>
      <c r="B700" s="32"/>
      <c r="D700" s="644"/>
      <c r="E700" s="660"/>
      <c r="F700" s="34"/>
      <c r="G700" s="88"/>
      <c r="H700" s="51">
        <f>IF(DAY(H699)=DAY($H$696),IF(WEEKDAY(EDATE(H699,$D$710),3)&lt;5,EDATE(H699,$D$710),WORKDAY(EDATE(H699,$D$710),1)),IF(WEEKDAY(EDATE($H$696,$D$710*COUNT($H$696:H699)),3)&lt;5,EDATE($H$696,$D$710*COUNT($H$696:H699)),WORKDAY(EDATE($H$696,$D$710*COUNT($H$696:H699)),1)))</f>
        <v>44067</v>
      </c>
      <c r="I700" s="137" t="s">
        <v>13</v>
      </c>
      <c r="J700" s="52">
        <f>+(($D$712/365)*(H700-H699))*L699</f>
        <v>1500.2534246575344</v>
      </c>
      <c r="K700" s="52">
        <f>+IF(OR(I700="A + C",I700="A"),$D$709*$D$713,0)</f>
        <v>36250</v>
      </c>
      <c r="L700" s="53">
        <f>+L699-K700</f>
        <v>0</v>
      </c>
      <c r="M700" s="103">
        <f>+J700+K700</f>
        <v>37750.253424657538</v>
      </c>
      <c r="N700" s="25"/>
    </row>
    <row r="701" spans="1:15" ht="15.95" customHeight="1" x14ac:dyDescent="0.25">
      <c r="A701" s="121"/>
      <c r="B701" s="23"/>
      <c r="C701" s="638" t="s">
        <v>36</v>
      </c>
      <c r="D701" s="640"/>
      <c r="E701" s="36"/>
      <c r="F701" s="34"/>
      <c r="G701" s="88"/>
      <c r="H701" s="54"/>
      <c r="I701" s="144"/>
      <c r="J701" s="55"/>
      <c r="K701" s="56"/>
      <c r="L701" s="57"/>
      <c r="M701" s="108"/>
      <c r="N701" s="25"/>
    </row>
    <row r="702" spans="1:15" ht="15.95" customHeight="1" x14ac:dyDescent="0.25">
      <c r="A702" s="121"/>
      <c r="B702" s="23"/>
      <c r="C702" s="59"/>
      <c r="D702" s="62"/>
      <c r="E702" s="36"/>
      <c r="F702" s="36"/>
      <c r="G702" s="89"/>
      <c r="H702" s="24"/>
      <c r="I702" s="24"/>
      <c r="J702" s="24"/>
      <c r="K702" s="24"/>
      <c r="L702" s="24"/>
      <c r="M702" s="24"/>
      <c r="N702" s="25"/>
    </row>
    <row r="703" spans="1:15" ht="15.95" customHeight="1" x14ac:dyDescent="0.25">
      <c r="A703" s="121"/>
      <c r="B703" s="23"/>
      <c r="C703" s="59" t="s">
        <v>9</v>
      </c>
      <c r="D703" s="129" t="s">
        <v>49</v>
      </c>
      <c r="E703" s="36"/>
      <c r="F703" s="36"/>
      <c r="G703" s="89"/>
      <c r="H703" s="680" t="s">
        <v>43</v>
      </c>
      <c r="I703" s="680"/>
      <c r="J703" s="92">
        <v>0</v>
      </c>
      <c r="K703" s="92"/>
      <c r="L703" s="24"/>
      <c r="M703" s="24"/>
      <c r="N703" s="25"/>
    </row>
    <row r="704" spans="1:15" ht="15.95" customHeight="1" x14ac:dyDescent="0.25">
      <c r="A704" s="121"/>
      <c r="B704" s="23"/>
      <c r="C704" s="59" t="s">
        <v>51</v>
      </c>
      <c r="D704" s="138" t="s">
        <v>18</v>
      </c>
      <c r="E704" s="36"/>
      <c r="F704" s="36"/>
      <c r="G704" s="89"/>
      <c r="H704" s="657"/>
      <c r="I704" s="657"/>
      <c r="J704" s="392"/>
      <c r="K704" s="24"/>
      <c r="L704" s="33"/>
      <c r="M704" s="33"/>
      <c r="N704" s="25"/>
    </row>
    <row r="705" spans="1:15" ht="15.95" customHeight="1" x14ac:dyDescent="0.25">
      <c r="A705" s="121"/>
      <c r="B705" s="23"/>
      <c r="C705" s="59" t="s">
        <v>52</v>
      </c>
      <c r="D705" s="138" t="s">
        <v>18</v>
      </c>
      <c r="E705" s="36"/>
      <c r="F705" s="36"/>
      <c r="G705" s="89"/>
      <c r="H705" s="24"/>
      <c r="I705" s="24"/>
      <c r="J705" s="24"/>
      <c r="K705" s="24"/>
      <c r="L705" s="24"/>
      <c r="M705" s="24"/>
      <c r="N705" s="25"/>
    </row>
    <row r="706" spans="1:15" ht="15.95" customHeight="1" x14ac:dyDescent="0.25">
      <c r="A706" s="121"/>
      <c r="B706" s="23"/>
      <c r="C706" s="59" t="s">
        <v>10</v>
      </c>
      <c r="D706" s="139">
        <v>43328</v>
      </c>
      <c r="E706" s="36"/>
      <c r="F706" s="36"/>
      <c r="G706" s="89"/>
      <c r="H706" s="638" t="s">
        <v>44</v>
      </c>
      <c r="I706" s="639"/>
      <c r="J706" s="639"/>
      <c r="K706" s="639"/>
      <c r="L706" s="639"/>
      <c r="M706" s="640"/>
      <c r="N706" s="25"/>
    </row>
    <row r="707" spans="1:15" ht="15.95" customHeight="1" x14ac:dyDescent="0.25">
      <c r="A707" s="121"/>
      <c r="B707" s="23"/>
      <c r="C707" s="59" t="s">
        <v>11</v>
      </c>
      <c r="D707" s="139">
        <v>43334</v>
      </c>
      <c r="E707" s="41"/>
      <c r="F707" s="24"/>
      <c r="G707" s="90"/>
      <c r="H707" s="23"/>
      <c r="I707" s="24"/>
      <c r="J707" s="24"/>
      <c r="K707" s="24"/>
      <c r="L707" s="24"/>
      <c r="M707" s="25"/>
      <c r="N707" s="25"/>
    </row>
    <row r="708" spans="1:15" ht="15.95" customHeight="1" x14ac:dyDescent="0.25">
      <c r="A708" s="121"/>
      <c r="B708" s="23"/>
      <c r="C708" s="59" t="s">
        <v>12</v>
      </c>
      <c r="D708" s="139">
        <v>44065</v>
      </c>
      <c r="E708" s="36"/>
      <c r="F708" s="24"/>
      <c r="G708" s="90"/>
      <c r="H708" s="23"/>
      <c r="I708" s="24"/>
      <c r="J708" s="24"/>
      <c r="K708" s="24"/>
      <c r="L708" s="24"/>
      <c r="M708" s="25"/>
      <c r="N708" s="25"/>
    </row>
    <row r="709" spans="1:15" ht="15.95" customHeight="1" x14ac:dyDescent="0.25">
      <c r="A709" s="121"/>
      <c r="B709" s="23"/>
      <c r="C709" s="59" t="s">
        <v>27</v>
      </c>
      <c r="D709" s="140">
        <v>145000</v>
      </c>
      <c r="E709" s="43"/>
      <c r="F709" s="24"/>
      <c r="G709" s="90"/>
      <c r="H709" s="96"/>
      <c r="I709" s="35"/>
      <c r="J709" s="24"/>
      <c r="K709" s="24"/>
      <c r="L709" s="24"/>
      <c r="M709" s="25"/>
      <c r="N709" s="25"/>
    </row>
    <row r="710" spans="1:15" ht="15.95" customHeight="1" x14ac:dyDescent="0.25">
      <c r="A710" s="121"/>
      <c r="B710" s="23"/>
      <c r="C710" s="59" t="s">
        <v>26</v>
      </c>
      <c r="D710" s="140">
        <v>6</v>
      </c>
      <c r="E710" s="43"/>
      <c r="F710" s="24"/>
      <c r="G710" s="90"/>
      <c r="H710" s="23"/>
      <c r="I710" s="24"/>
      <c r="J710" s="24"/>
      <c r="K710" s="24"/>
      <c r="L710" s="24"/>
      <c r="M710" s="25"/>
      <c r="N710" s="25"/>
    </row>
    <row r="711" spans="1:15" ht="15.95" customHeight="1" x14ac:dyDescent="0.25">
      <c r="A711" s="121"/>
      <c r="B711" s="23"/>
      <c r="C711" s="59" t="s">
        <v>19</v>
      </c>
      <c r="D711" s="141" t="s">
        <v>50</v>
      </c>
      <c r="E711" s="43"/>
      <c r="F711" s="24"/>
      <c r="G711" s="90"/>
      <c r="H711" s="23"/>
      <c r="I711" s="24"/>
      <c r="J711" s="24"/>
      <c r="K711" s="24"/>
      <c r="L711" s="24"/>
      <c r="M711" s="25"/>
      <c r="N711" s="25"/>
    </row>
    <row r="712" spans="1:15" ht="15.95" customHeight="1" x14ac:dyDescent="0.25">
      <c r="A712" s="121"/>
      <c r="B712" s="23"/>
      <c r="C712" s="59" t="s">
        <v>14</v>
      </c>
      <c r="D712" s="142">
        <v>8.3000000000000004E-2</v>
      </c>
      <c r="E712" s="44"/>
      <c r="F712" s="24"/>
      <c r="G712" s="90"/>
      <c r="H712" s="23"/>
      <c r="I712" s="24"/>
      <c r="J712" s="24"/>
      <c r="K712" s="24"/>
      <c r="L712" s="24"/>
      <c r="M712" s="25"/>
      <c r="N712" s="25"/>
    </row>
    <row r="713" spans="1:15" ht="15.95" customHeight="1" x14ac:dyDescent="0.25">
      <c r="A713" s="121"/>
      <c r="B713" s="23"/>
      <c r="C713" s="59" t="s">
        <v>81</v>
      </c>
      <c r="D713" s="143">
        <v>0.25</v>
      </c>
      <c r="E713" s="24"/>
      <c r="F713" s="24"/>
      <c r="G713" s="90"/>
      <c r="H713" s="23"/>
      <c r="I713" s="24"/>
      <c r="J713" s="24"/>
      <c r="K713" s="24"/>
      <c r="L713" s="24"/>
      <c r="M713" s="25"/>
      <c r="N713" s="25"/>
    </row>
    <row r="714" spans="1:15" ht="20.100000000000001" customHeight="1" x14ac:dyDescent="0.25">
      <c r="A714" s="121"/>
      <c r="B714" s="23"/>
      <c r="C714" s="60"/>
      <c r="D714" s="149"/>
      <c r="E714" s="24"/>
      <c r="F714" s="24"/>
      <c r="G714" s="90"/>
      <c r="H714" s="23"/>
      <c r="I714" s="24"/>
      <c r="J714" s="24"/>
      <c r="K714" s="24"/>
      <c r="L714" s="24"/>
      <c r="M714" s="25"/>
      <c r="N714" s="25"/>
    </row>
    <row r="715" spans="1:15" ht="15.95" customHeight="1" x14ac:dyDescent="0.25">
      <c r="A715" s="121"/>
      <c r="B715" s="23"/>
      <c r="C715" s="24"/>
      <c r="D715" s="24"/>
      <c r="E715" s="24"/>
      <c r="F715" s="24"/>
      <c r="G715" s="90"/>
      <c r="H715" s="23"/>
      <c r="I715" s="24"/>
      <c r="J715" s="24"/>
      <c r="K715" s="24"/>
      <c r="L715" s="24"/>
      <c r="M715" s="25"/>
      <c r="N715" s="25"/>
    </row>
    <row r="716" spans="1:15" ht="15.95" customHeight="1" x14ac:dyDescent="0.25">
      <c r="A716" s="121"/>
      <c r="B716" s="23"/>
      <c r="C716" s="24"/>
      <c r="D716" s="24"/>
      <c r="E716" s="24"/>
      <c r="F716" s="24"/>
      <c r="G716" s="90"/>
      <c r="H716" s="23"/>
      <c r="I716" s="24"/>
      <c r="J716" s="24"/>
      <c r="K716" s="24"/>
      <c r="L716" s="24"/>
      <c r="M716" s="25"/>
      <c r="N716" s="25"/>
      <c r="O716" s="194" t="str">
        <f>+D835</f>
        <v>ON Pyme CNV Garantizada</v>
      </c>
    </row>
    <row r="717" spans="1:15" ht="15.95" customHeight="1" x14ac:dyDescent="0.25">
      <c r="A717" s="121"/>
      <c r="B717" s="23"/>
      <c r="C717" s="24"/>
      <c r="D717" s="24"/>
      <c r="E717" s="24"/>
      <c r="F717" s="24"/>
      <c r="G717" s="90"/>
      <c r="H717" s="23"/>
      <c r="I717" s="24"/>
      <c r="J717" s="24"/>
      <c r="K717" s="24"/>
      <c r="L717" s="24"/>
      <c r="M717" s="25"/>
      <c r="N717" s="25"/>
    </row>
    <row r="718" spans="1:15" ht="15.95" customHeight="1" x14ac:dyDescent="0.25">
      <c r="A718" s="121"/>
      <c r="B718" s="23"/>
      <c r="C718" s="24"/>
      <c r="D718" s="24"/>
      <c r="E718" s="24"/>
      <c r="F718" s="24"/>
      <c r="G718" s="90"/>
      <c r="H718" s="26"/>
      <c r="I718" s="27"/>
      <c r="J718" s="27"/>
      <c r="K718" s="27"/>
      <c r="L718" s="27"/>
      <c r="M718" s="28"/>
      <c r="N718" s="25"/>
      <c r="O718" s="194" t="str">
        <f>+IF(J833="vencida",IF(D835='Reporte - Oscuro'!$C$40,'Reporte - Oscuro'!$C$40&amp;" vencida",IF(D835='Reporte - Oscuro'!$C$41,'Reporte - Oscuro'!$C$41&amp;" vencida",IF(D835='Reporte - Oscuro'!$C$42,'Reporte - Oscuro'!$C$42&amp;" vencida",'Reporte - Oscuro'!$C$43&amp;" vencida"))),D835&amp;" vigente")</f>
        <v>ON Pyme CNV Garantizada vencida</v>
      </c>
    </row>
    <row r="719" spans="1:15" ht="15.95" customHeight="1" x14ac:dyDescent="0.25">
      <c r="A719" s="121"/>
      <c r="B719" s="26"/>
      <c r="C719" s="85"/>
      <c r="D719" s="27"/>
      <c r="E719" s="27"/>
      <c r="F719" s="27"/>
      <c r="G719" s="91"/>
      <c r="H719" s="27"/>
      <c r="I719" s="27"/>
      <c r="J719" s="27"/>
      <c r="K719" s="27"/>
      <c r="L719" s="27"/>
      <c r="M719" s="27"/>
      <c r="N719" s="28"/>
    </row>
    <row r="720" spans="1:15" ht="15.95" customHeight="1" x14ac:dyDescent="0.25">
      <c r="A720" s="121"/>
      <c r="B720" s="115"/>
      <c r="C720" s="116"/>
      <c r="D720" s="116"/>
      <c r="E720" s="116"/>
      <c r="F720" s="117"/>
      <c r="G720" s="117"/>
      <c r="H720" s="117"/>
      <c r="I720" s="117"/>
      <c r="J720" s="116"/>
      <c r="K720" s="116"/>
      <c r="L720" s="116"/>
      <c r="M720" s="116"/>
      <c r="N720" s="118"/>
    </row>
    <row r="721" spans="1:15" ht="15.95" customHeight="1" x14ac:dyDescent="0.25">
      <c r="A721" s="121"/>
      <c r="B721" s="683" t="s">
        <v>528</v>
      </c>
      <c r="C721" s="684"/>
      <c r="D721" s="684"/>
      <c r="E721" s="684"/>
      <c r="F721" s="684"/>
      <c r="G721" s="684"/>
      <c r="H721" s="684"/>
      <c r="I721" s="684"/>
      <c r="J721" s="684"/>
      <c r="K721" s="684"/>
      <c r="L721" s="684"/>
      <c r="M721" s="684"/>
      <c r="N721" s="685"/>
    </row>
    <row r="722" spans="1:15" ht="15.95" customHeight="1" x14ac:dyDescent="0.25">
      <c r="A722" s="121"/>
      <c r="B722" s="23"/>
      <c r="C722" s="24"/>
      <c r="D722" s="24"/>
      <c r="E722" s="24"/>
      <c r="F722" s="31"/>
      <c r="G722" s="87"/>
      <c r="H722" s="31"/>
      <c r="I722" s="31"/>
      <c r="J722" s="24"/>
      <c r="K722" s="24"/>
      <c r="L722" s="24"/>
      <c r="M722" s="24"/>
      <c r="N722" s="25"/>
    </row>
    <row r="723" spans="1:15" ht="15.95" customHeight="1" x14ac:dyDescent="0.25">
      <c r="A723" s="121"/>
      <c r="B723" s="23"/>
      <c r="C723" s="638" t="s">
        <v>37</v>
      </c>
      <c r="D723" s="639"/>
      <c r="E723" s="640"/>
      <c r="F723" s="31"/>
      <c r="G723" s="87"/>
      <c r="H723" s="641" t="s">
        <v>28</v>
      </c>
      <c r="I723" s="642"/>
      <c r="J723" s="39">
        <f>+$D$744-SUMIF($H$731:$H$736,"&lt;"&amp;$M$4,$K$731:$K$736)</f>
        <v>97136.979999999981</v>
      </c>
      <c r="K723" s="24"/>
      <c r="L723" s="24"/>
      <c r="M723" s="24"/>
      <c r="N723" s="25"/>
      <c r="O723" s="97">
        <f>+M838</f>
        <v>-300000</v>
      </c>
    </row>
    <row r="724" spans="1:15" ht="15.95" customHeight="1" x14ac:dyDescent="0.25">
      <c r="A724" s="121"/>
      <c r="B724" s="23"/>
      <c r="C724" s="58"/>
      <c r="D724" s="664"/>
      <c r="E724" s="665"/>
      <c r="F724" s="31"/>
      <c r="G724" s="87"/>
      <c r="H724" s="645" t="s">
        <v>29</v>
      </c>
      <c r="I724" s="646"/>
      <c r="J724" s="40">
        <f>H734</f>
        <v>45953</v>
      </c>
      <c r="K724" s="24"/>
      <c r="L724" s="24"/>
      <c r="M724" s="24"/>
      <c r="N724" s="25"/>
      <c r="O724" s="97">
        <f>+M839+O723</f>
        <v>-241540.27397260274</v>
      </c>
    </row>
    <row r="725" spans="1:15" ht="15.95" customHeight="1" x14ac:dyDescent="0.25">
      <c r="A725" s="121"/>
      <c r="B725" s="23"/>
      <c r="C725" s="59" t="s">
        <v>25</v>
      </c>
      <c r="D725" s="681"/>
      <c r="E725" s="682"/>
      <c r="F725" s="31"/>
      <c r="G725" s="87"/>
      <c r="H725" s="649" t="s">
        <v>30</v>
      </c>
      <c r="I725" s="650"/>
      <c r="J725" s="42">
        <f>+COUPNCD($M$4,J724,1,2)</f>
        <v>45953</v>
      </c>
      <c r="K725" s="24"/>
      <c r="L725" s="24"/>
      <c r="M725" s="24"/>
      <c r="N725" s="25"/>
      <c r="O725" s="97">
        <f>+M840+O724</f>
        <v>-185286.0410958904</v>
      </c>
    </row>
    <row r="726" spans="1:15" ht="15.95" customHeight="1" x14ac:dyDescent="0.25">
      <c r="A726" s="121"/>
      <c r="B726" s="23"/>
      <c r="C726" s="59" t="s">
        <v>6</v>
      </c>
      <c r="D726" s="681" t="s">
        <v>530</v>
      </c>
      <c r="E726" s="682"/>
      <c r="F726" s="31"/>
      <c r="G726" s="87"/>
      <c r="H726" s="24"/>
      <c r="I726" s="24"/>
      <c r="J726" s="24"/>
      <c r="K726" s="24"/>
      <c r="L726" s="24"/>
      <c r="M726" s="24"/>
      <c r="N726" s="25"/>
      <c r="O726" s="97">
        <f>+M841+O725</f>
        <v>-130864.23287671231</v>
      </c>
    </row>
    <row r="727" spans="1:15" ht="15.95" customHeight="1" x14ac:dyDescent="0.25">
      <c r="A727" s="121"/>
      <c r="B727" s="23"/>
      <c r="C727" s="59" t="s">
        <v>8</v>
      </c>
      <c r="D727" s="681" t="s">
        <v>17</v>
      </c>
      <c r="E727" s="682"/>
      <c r="F727" s="31"/>
      <c r="G727" s="87"/>
      <c r="H727" s="651" t="s">
        <v>41</v>
      </c>
      <c r="I727" s="652"/>
      <c r="J727" s="652"/>
      <c r="K727" s="652"/>
      <c r="L727" s="653"/>
      <c r="M727" s="24"/>
      <c r="N727" s="25"/>
      <c r="O727" s="97">
        <f>+M842+O726</f>
        <v>-78541.849315068481</v>
      </c>
    </row>
    <row r="728" spans="1:15" ht="15.95" customHeight="1" x14ac:dyDescent="0.25">
      <c r="A728" s="121"/>
      <c r="B728" s="23"/>
      <c r="C728" s="59" t="s">
        <v>33</v>
      </c>
      <c r="D728" s="132" t="s">
        <v>309</v>
      </c>
      <c r="E728" s="274">
        <v>0.5</v>
      </c>
      <c r="F728" s="281">
        <f>+E728*J723</f>
        <v>48568.489999999991</v>
      </c>
      <c r="G728" s="87"/>
      <c r="H728" s="126" t="s">
        <v>0</v>
      </c>
      <c r="I728" s="127" t="s">
        <v>2</v>
      </c>
      <c r="J728" s="127" t="s">
        <v>3</v>
      </c>
      <c r="K728" s="127" t="s">
        <v>4</v>
      </c>
      <c r="L728" s="128" t="s">
        <v>5</v>
      </c>
      <c r="M728" s="127" t="s">
        <v>44</v>
      </c>
      <c r="N728" s="25"/>
      <c r="O728" s="97">
        <f>+M843+O727</f>
        <v>-28099.43835616437</v>
      </c>
    </row>
    <row r="729" spans="1:15" ht="15.95" customHeight="1" x14ac:dyDescent="0.25">
      <c r="A729" s="121"/>
      <c r="B729" s="23"/>
      <c r="C729" s="59"/>
      <c r="D729" s="132" t="s">
        <v>529</v>
      </c>
      <c r="E729" s="274">
        <v>0.5</v>
      </c>
      <c r="F729" s="522">
        <f>+E729*J724</f>
        <v>22976.5</v>
      </c>
      <c r="G729" s="87"/>
      <c r="H729" s="519"/>
      <c r="I729" s="520"/>
      <c r="J729" s="520"/>
      <c r="K729" s="520"/>
      <c r="L729" s="521"/>
      <c r="M729" s="520"/>
      <c r="N729" s="25"/>
      <c r="O729" s="97"/>
    </row>
    <row r="730" spans="1:15" ht="15.95" customHeight="1" x14ac:dyDescent="0.25">
      <c r="A730" s="121"/>
      <c r="B730" s="23"/>
      <c r="C730" s="59" t="s">
        <v>34</v>
      </c>
      <c r="D730" s="689" t="s">
        <v>48</v>
      </c>
      <c r="E730" s="690"/>
      <c r="F730" s="31"/>
      <c r="G730" s="87"/>
      <c r="H730" s="45"/>
      <c r="I730" s="46"/>
      <c r="J730" s="46"/>
      <c r="K730" s="46"/>
      <c r="L730" s="47"/>
      <c r="M730" s="23"/>
      <c r="N730" s="25"/>
      <c r="O730" s="97">
        <f>+M844+O728</f>
        <v>50174.054794520554</v>
      </c>
    </row>
    <row r="731" spans="1:15" ht="15.95" customHeight="1" x14ac:dyDescent="0.25">
      <c r="A731" s="121"/>
      <c r="B731" s="23"/>
      <c r="C731" s="79" t="s">
        <v>38</v>
      </c>
      <c r="D731" s="130"/>
      <c r="E731" s="131"/>
      <c r="F731" s="31"/>
      <c r="G731" s="87"/>
      <c r="H731" s="48">
        <f>+$D$742</f>
        <v>45223</v>
      </c>
      <c r="I731" s="136"/>
      <c r="J731" s="49"/>
      <c r="K731" s="49"/>
      <c r="L731" s="50">
        <f>+D744</f>
        <v>285697</v>
      </c>
      <c r="M731" s="93">
        <f>-L731</f>
        <v>-285697</v>
      </c>
      <c r="N731" s="25"/>
      <c r="O731" s="97"/>
    </row>
    <row r="732" spans="1:15" ht="15.95" customHeight="1" x14ac:dyDescent="0.25">
      <c r="A732" s="121"/>
      <c r="B732" s="23"/>
      <c r="C732" s="59"/>
      <c r="D732" s="132"/>
      <c r="E732" s="133"/>
      <c r="F732" s="31"/>
      <c r="G732" s="87"/>
      <c r="H732" s="51">
        <v>45589</v>
      </c>
      <c r="I732" s="137" t="s">
        <v>13</v>
      </c>
      <c r="J732" s="52">
        <v>0</v>
      </c>
      <c r="K732" s="52">
        <v>94280.010000000009</v>
      </c>
      <c r="L732" s="53">
        <f>+L731-K732</f>
        <v>191416.99</v>
      </c>
      <c r="M732" s="94">
        <f>+J732+K732</f>
        <v>94280.010000000009</v>
      </c>
      <c r="N732" s="25"/>
    </row>
    <row r="733" spans="1:15" ht="15.95" customHeight="1" x14ac:dyDescent="0.25">
      <c r="A733" s="121"/>
      <c r="B733" s="23"/>
      <c r="C733" s="60"/>
      <c r="D733" s="134"/>
      <c r="E733" s="135"/>
      <c r="F733" s="34"/>
      <c r="G733" s="88"/>
      <c r="H733" s="51">
        <v>45770</v>
      </c>
      <c r="I733" s="137" t="s">
        <v>13</v>
      </c>
      <c r="J733" s="52">
        <v>0</v>
      </c>
      <c r="K733" s="52">
        <v>94280.010000000009</v>
      </c>
      <c r="L733" s="53">
        <f>+L732-K733</f>
        <v>97136.979999999981</v>
      </c>
      <c r="M733" s="94">
        <f>+J733+K733</f>
        <v>94280.010000000009</v>
      </c>
      <c r="N733" s="25"/>
    </row>
    <row r="734" spans="1:15" ht="15.95" customHeight="1" x14ac:dyDescent="0.25">
      <c r="A734" s="121"/>
      <c r="B734" s="23"/>
      <c r="C734" s="60"/>
      <c r="D734" s="275" t="str">
        <f>B721</f>
        <v>El Hinojo I</v>
      </c>
      <c r="E734" s="276"/>
      <c r="F734" s="34"/>
      <c r="G734" s="88">
        <f>J723</f>
        <v>97136.979999999981</v>
      </c>
      <c r="H734" s="51">
        <v>45953</v>
      </c>
      <c r="I734" s="137" t="s">
        <v>13</v>
      </c>
      <c r="J734" s="52">
        <v>0</v>
      </c>
      <c r="K734" s="52">
        <v>94280.010000000009</v>
      </c>
      <c r="L734" s="53">
        <v>0</v>
      </c>
      <c r="M734" s="94">
        <f>+J734+K734</f>
        <v>94280.010000000009</v>
      </c>
      <c r="N734" s="25"/>
    </row>
    <row r="735" spans="1:15" ht="15.95" customHeight="1" x14ac:dyDescent="0.25">
      <c r="A735" s="121"/>
      <c r="B735" s="32"/>
      <c r="D735" s="277"/>
      <c r="E735" s="277"/>
      <c r="F735" s="34"/>
      <c r="G735" s="88"/>
      <c r="H735" s="51"/>
      <c r="I735" s="137"/>
      <c r="J735" s="52"/>
      <c r="K735" s="52"/>
      <c r="L735" s="53"/>
      <c r="M735" s="94">
        <f>+J735+K735</f>
        <v>0</v>
      </c>
      <c r="N735" s="25"/>
    </row>
    <row r="736" spans="1:15" ht="15.95" customHeight="1" x14ac:dyDescent="0.25">
      <c r="A736" s="121"/>
      <c r="B736" s="23"/>
      <c r="C736" s="638" t="s">
        <v>36</v>
      </c>
      <c r="D736" s="640"/>
      <c r="E736" s="36"/>
      <c r="F736" s="34"/>
      <c r="G736" s="89"/>
      <c r="H736" s="51"/>
      <c r="I736" s="137"/>
      <c r="J736" s="52"/>
      <c r="K736" s="52"/>
      <c r="L736" s="53"/>
      <c r="M736" s="94"/>
      <c r="N736" s="25"/>
      <c r="O736" s="59"/>
    </row>
    <row r="737" spans="1:14" ht="15.95" customHeight="1" x14ac:dyDescent="0.25">
      <c r="A737" s="121"/>
      <c r="B737" s="23"/>
      <c r="C737" s="59"/>
      <c r="D737" s="62"/>
      <c r="E737" s="36"/>
      <c r="F737" s="36"/>
      <c r="G737" s="89"/>
      <c r="H737" s="54"/>
      <c r="I737" s="61"/>
      <c r="J737" s="55"/>
      <c r="K737" s="56"/>
      <c r="L737" s="57"/>
      <c r="M737" s="95"/>
      <c r="N737" s="25"/>
    </row>
    <row r="738" spans="1:14" ht="15.95" customHeight="1" x14ac:dyDescent="0.25">
      <c r="A738" s="121"/>
      <c r="B738" s="23"/>
      <c r="C738" s="59" t="s">
        <v>9</v>
      </c>
      <c r="D738" s="129" t="s">
        <v>49</v>
      </c>
      <c r="E738" s="36"/>
      <c r="F738" s="36"/>
      <c r="G738" s="89"/>
      <c r="H738" s="24"/>
      <c r="I738" s="24"/>
      <c r="J738" s="24"/>
      <c r="K738" s="24"/>
      <c r="L738" s="24"/>
      <c r="M738" s="24"/>
      <c r="N738" s="25"/>
    </row>
    <row r="739" spans="1:14" ht="15.95" customHeight="1" x14ac:dyDescent="0.25">
      <c r="A739" s="121"/>
      <c r="B739" s="23"/>
      <c r="C739" s="59" t="s">
        <v>51</v>
      </c>
      <c r="D739" s="138" t="s">
        <v>49</v>
      </c>
      <c r="E739" s="36"/>
      <c r="F739" s="36"/>
      <c r="G739" s="89"/>
      <c r="H739" s="680" t="s">
        <v>43</v>
      </c>
      <c r="I739" s="680"/>
      <c r="J739" s="92">
        <f>J723</f>
        <v>97136.979999999981</v>
      </c>
      <c r="K739" s="92"/>
      <c r="L739" s="24"/>
      <c r="M739" s="24"/>
      <c r="N739" s="25"/>
    </row>
    <row r="740" spans="1:14" ht="15.95" customHeight="1" x14ac:dyDescent="0.25">
      <c r="A740" s="121"/>
      <c r="B740" s="23"/>
      <c r="C740" s="59" t="s">
        <v>52</v>
      </c>
      <c r="D740" s="138" t="s">
        <v>49</v>
      </c>
      <c r="E740" s="36"/>
      <c r="F740" s="36"/>
      <c r="G740" s="90"/>
      <c r="H740" s="657"/>
      <c r="I740" s="657"/>
      <c r="J740" s="392"/>
      <c r="K740" s="24"/>
      <c r="L740" s="33"/>
      <c r="M740" s="33"/>
      <c r="N740" s="25"/>
    </row>
    <row r="741" spans="1:14" ht="15.95" customHeight="1" x14ac:dyDescent="0.25">
      <c r="A741" s="121"/>
      <c r="B741" s="23"/>
      <c r="C741" s="59" t="s">
        <v>10</v>
      </c>
      <c r="D741" s="139">
        <v>45218</v>
      </c>
      <c r="E741" s="36"/>
      <c r="F741" s="36"/>
      <c r="G741" s="90"/>
      <c r="H741" s="24"/>
      <c r="I741" s="24"/>
      <c r="J741" s="24"/>
      <c r="K741" s="24"/>
      <c r="L741" s="24"/>
      <c r="M741" s="24"/>
      <c r="N741" s="25"/>
    </row>
    <row r="742" spans="1:14" ht="15.95" customHeight="1" x14ac:dyDescent="0.25">
      <c r="A742" s="121"/>
      <c r="B742" s="23"/>
      <c r="C742" s="59" t="s">
        <v>11</v>
      </c>
      <c r="D742" s="139">
        <v>45223</v>
      </c>
      <c r="E742" s="41"/>
      <c r="F742" s="24"/>
      <c r="G742" s="90"/>
      <c r="H742" s="638" t="s">
        <v>44</v>
      </c>
      <c r="I742" s="639"/>
      <c r="J742" s="639"/>
      <c r="K742" s="639"/>
      <c r="L742" s="639"/>
      <c r="M742" s="640"/>
      <c r="N742" s="25"/>
    </row>
    <row r="743" spans="1:14" ht="15.95" customHeight="1" x14ac:dyDescent="0.25">
      <c r="A743" s="121"/>
      <c r="B743" s="23"/>
      <c r="C743" s="59" t="s">
        <v>12</v>
      </c>
      <c r="D743" s="139">
        <v>45953</v>
      </c>
      <c r="E743" s="36"/>
      <c r="F743" s="24"/>
      <c r="G743" s="90"/>
      <c r="H743" s="23"/>
      <c r="I743" s="24"/>
      <c r="J743" s="24"/>
      <c r="K743" s="24"/>
      <c r="L743" s="24"/>
      <c r="M743" s="25"/>
      <c r="N743" s="25"/>
    </row>
    <row r="744" spans="1:14" ht="15.95" customHeight="1" x14ac:dyDescent="0.25">
      <c r="A744" s="121"/>
      <c r="B744" s="23"/>
      <c r="C744" s="59" t="s">
        <v>27</v>
      </c>
      <c r="D744" s="140">
        <v>285697</v>
      </c>
      <c r="E744" s="43"/>
      <c r="F744" s="24"/>
      <c r="G744" s="90"/>
      <c r="H744" s="23"/>
      <c r="I744" s="24"/>
      <c r="J744" s="24"/>
      <c r="K744" s="24"/>
      <c r="L744" s="24"/>
      <c r="M744" s="25"/>
      <c r="N744" s="25"/>
    </row>
    <row r="745" spans="1:14" ht="15.95" customHeight="1" x14ac:dyDescent="0.25">
      <c r="A745" s="121"/>
      <c r="B745" s="23"/>
      <c r="C745" s="59" t="s">
        <v>65</v>
      </c>
      <c r="D745" s="140">
        <v>0</v>
      </c>
      <c r="E745" s="43"/>
      <c r="F745" s="24"/>
      <c r="G745" s="90"/>
      <c r="H745" s="96"/>
      <c r="I745" s="35"/>
      <c r="J745" s="24"/>
      <c r="K745" s="24"/>
      <c r="L745" s="24"/>
      <c r="M745" s="25"/>
      <c r="N745" s="25"/>
    </row>
    <row r="746" spans="1:14" ht="15.95" customHeight="1" x14ac:dyDescent="0.25">
      <c r="A746" s="121"/>
      <c r="B746" s="23"/>
      <c r="C746" s="59" t="s">
        <v>26</v>
      </c>
      <c r="D746" s="140">
        <v>0</v>
      </c>
      <c r="E746" s="43"/>
      <c r="F746" s="24"/>
      <c r="G746" s="90"/>
      <c r="H746" s="23"/>
      <c r="I746" s="24"/>
      <c r="J746" s="24"/>
      <c r="K746" s="24"/>
      <c r="L746" s="24"/>
      <c r="M746" s="25"/>
      <c r="N746" s="25"/>
    </row>
    <row r="747" spans="1:14" ht="15.95" customHeight="1" x14ac:dyDescent="0.25">
      <c r="A747" s="121"/>
      <c r="B747" s="23"/>
      <c r="C747" s="59" t="s">
        <v>19</v>
      </c>
      <c r="D747" s="141" t="s">
        <v>50</v>
      </c>
      <c r="E747" s="43"/>
      <c r="F747" s="24"/>
      <c r="G747" s="90"/>
      <c r="H747" s="23"/>
      <c r="I747" s="24"/>
      <c r="J747" s="24"/>
      <c r="K747" s="24"/>
      <c r="L747" s="24"/>
      <c r="M747" s="25"/>
      <c r="N747" s="25"/>
    </row>
    <row r="748" spans="1:14" ht="15.95" customHeight="1" x14ac:dyDescent="0.25">
      <c r="A748" s="121"/>
      <c r="B748" s="23"/>
      <c r="C748" s="59" t="s">
        <v>14</v>
      </c>
      <c r="D748" s="142">
        <v>0</v>
      </c>
      <c r="E748" s="44"/>
      <c r="F748" s="24"/>
      <c r="G748" s="90"/>
      <c r="H748" s="23"/>
      <c r="I748" s="24"/>
      <c r="J748" s="24"/>
      <c r="K748" s="24"/>
      <c r="L748" s="24"/>
      <c r="M748" s="25"/>
      <c r="N748" s="25"/>
    </row>
    <row r="749" spans="1:14" ht="15.95" customHeight="1" x14ac:dyDescent="0.25">
      <c r="A749" s="121"/>
      <c r="B749" s="23"/>
      <c r="C749" s="59" t="s">
        <v>54</v>
      </c>
      <c r="D749" s="143">
        <v>0.33</v>
      </c>
      <c r="E749" s="24"/>
      <c r="F749" s="24"/>
      <c r="G749" s="90"/>
      <c r="H749" s="23"/>
      <c r="I749" s="24"/>
      <c r="J749" s="24"/>
      <c r="K749" s="24"/>
      <c r="L749" s="24"/>
      <c r="M749" s="25"/>
      <c r="N749" s="25"/>
    </row>
    <row r="750" spans="1:14" ht="15.95" customHeight="1" x14ac:dyDescent="0.25">
      <c r="A750" s="121"/>
      <c r="B750" s="23"/>
      <c r="C750" s="63"/>
      <c r="D750" s="64"/>
      <c r="E750" s="24"/>
      <c r="F750" s="24"/>
      <c r="G750" s="90"/>
      <c r="H750" s="23"/>
      <c r="I750" s="24"/>
      <c r="J750" s="24"/>
      <c r="K750" s="24"/>
      <c r="L750" s="24"/>
      <c r="M750" s="25"/>
      <c r="N750" s="25"/>
    </row>
    <row r="751" spans="1:14" ht="20.100000000000001" customHeight="1" x14ac:dyDescent="0.25">
      <c r="A751" s="121"/>
      <c r="B751" s="23"/>
      <c r="C751" s="24"/>
      <c r="D751" s="24"/>
      <c r="E751" s="24"/>
      <c r="F751" s="24"/>
      <c r="G751" s="90"/>
      <c r="H751" s="23"/>
      <c r="I751" s="24"/>
      <c r="J751" s="24"/>
      <c r="K751" s="24"/>
      <c r="L751" s="24"/>
      <c r="M751" s="25"/>
      <c r="N751" s="25"/>
    </row>
    <row r="752" spans="1:14" ht="15.95" customHeight="1" x14ac:dyDescent="0.25">
      <c r="A752" s="121"/>
      <c r="B752" s="23"/>
      <c r="C752" s="24"/>
      <c r="D752" s="24"/>
      <c r="E752" s="24"/>
      <c r="F752" s="24"/>
      <c r="G752" s="90"/>
      <c r="H752" s="23"/>
      <c r="I752" s="24"/>
      <c r="J752" s="24"/>
      <c r="K752" s="24"/>
      <c r="L752" s="24"/>
      <c r="M752" s="25"/>
      <c r="N752" s="25"/>
    </row>
    <row r="753" spans="1:15" ht="15.95" customHeight="1" x14ac:dyDescent="0.25">
      <c r="A753" s="121"/>
      <c r="B753" s="23"/>
      <c r="C753" s="24"/>
      <c r="D753" s="24"/>
      <c r="E753" s="24"/>
      <c r="F753" s="24"/>
      <c r="G753" s="90"/>
      <c r="H753" s="23"/>
      <c r="I753" s="24"/>
      <c r="J753" s="24"/>
      <c r="K753" s="24"/>
      <c r="L753" s="24"/>
      <c r="M753" s="25"/>
      <c r="N753" s="25"/>
    </row>
    <row r="754" spans="1:15" ht="15.95" customHeight="1" x14ac:dyDescent="0.25">
      <c r="A754" s="121"/>
      <c r="B754" s="23"/>
      <c r="C754" s="24"/>
      <c r="D754" s="24"/>
      <c r="E754" s="24"/>
      <c r="F754" s="24"/>
      <c r="G754" s="90"/>
      <c r="H754" s="26"/>
      <c r="I754" s="27"/>
      <c r="J754" s="27"/>
      <c r="K754" s="27"/>
      <c r="L754" s="27"/>
      <c r="M754" s="28"/>
      <c r="N754" s="25"/>
    </row>
    <row r="755" spans="1:15" ht="15.95" customHeight="1" x14ac:dyDescent="0.25">
      <c r="A755" s="121"/>
      <c r="B755" s="26"/>
      <c r="C755" s="85"/>
      <c r="D755" s="27"/>
      <c r="E755" s="27"/>
      <c r="F755" s="27"/>
      <c r="G755" s="91"/>
      <c r="H755" s="27"/>
      <c r="I755" s="27"/>
      <c r="J755" s="27"/>
      <c r="K755" s="27"/>
      <c r="L755" s="27"/>
      <c r="M755" s="27"/>
      <c r="N755" s="28"/>
      <c r="O755" s="194" t="str">
        <f>+D873</f>
        <v>ON Pyme CNV Garantizada</v>
      </c>
    </row>
    <row r="756" spans="1:15" ht="15.95" customHeight="1" x14ac:dyDescent="0.25">
      <c r="A756" s="121"/>
      <c r="B756" s="23"/>
      <c r="C756" s="24"/>
      <c r="D756" s="24"/>
      <c r="E756" s="24"/>
      <c r="F756" s="24"/>
      <c r="G756" s="24"/>
      <c r="H756" s="24"/>
      <c r="I756" s="24"/>
      <c r="J756" s="24"/>
      <c r="K756" s="24"/>
      <c r="L756" s="24"/>
      <c r="M756" s="24"/>
      <c r="N756" s="25"/>
    </row>
    <row r="757" spans="1:15" ht="15.95" customHeight="1" x14ac:dyDescent="0.25">
      <c r="A757" s="121"/>
      <c r="B757" s="683" t="s">
        <v>150</v>
      </c>
      <c r="C757" s="684"/>
      <c r="D757" s="684"/>
      <c r="E757" s="684"/>
      <c r="F757" s="684"/>
      <c r="G757" s="684"/>
      <c r="H757" s="684"/>
      <c r="I757" s="684"/>
      <c r="J757" s="684"/>
      <c r="K757" s="684"/>
      <c r="L757" s="684"/>
      <c r="M757" s="684"/>
      <c r="N757" s="685"/>
      <c r="O757" s="194" t="str">
        <f>+IF(J871="vencida",IF(D873='Reporte - Oscuro'!$C$40,'Reporte - Oscuro'!$C$40&amp;" vencida",IF(D873='Reporte - Oscuro'!$C$41,'Reporte - Oscuro'!$C$41&amp;" vencida",IF(D873='Reporte - Oscuro'!$C$42,'Reporte - Oscuro'!$C$42&amp;" vencida",'Reporte - Oscuro'!$C$43&amp;" vencida"))),D873&amp;" vigente")</f>
        <v>ON Pyme CNV Garantizada vencida</v>
      </c>
    </row>
    <row r="758" spans="1:15" ht="15.95" customHeight="1" x14ac:dyDescent="0.25">
      <c r="A758" s="121"/>
      <c r="B758" s="23"/>
      <c r="C758" s="24"/>
      <c r="D758" s="24"/>
      <c r="E758" s="24"/>
      <c r="F758" s="31"/>
      <c r="G758" s="87"/>
      <c r="H758" s="31"/>
      <c r="I758" s="31"/>
      <c r="J758" s="24"/>
      <c r="K758" s="24"/>
      <c r="L758" s="24"/>
      <c r="M758" s="24"/>
      <c r="N758" s="25"/>
    </row>
    <row r="759" spans="1:15" ht="15.95" customHeight="1" x14ac:dyDescent="0.25">
      <c r="A759" s="121"/>
      <c r="B759" s="23"/>
      <c r="C759" s="638" t="s">
        <v>37</v>
      </c>
      <c r="D759" s="639"/>
      <c r="E759" s="640"/>
      <c r="F759" s="31"/>
      <c r="G759" s="87"/>
      <c r="H759" s="641" t="s">
        <v>28</v>
      </c>
      <c r="I759" s="642"/>
      <c r="J759" s="39">
        <f>+$D$779-SUMIF($H$765:$H$773,"&lt;"&amp;$M$4,$K$765:$K$773)</f>
        <v>0</v>
      </c>
      <c r="K759" s="24"/>
      <c r="L759" s="24"/>
      <c r="M759" s="24"/>
      <c r="N759" s="25"/>
    </row>
    <row r="760" spans="1:15" ht="15.95" customHeight="1" x14ac:dyDescent="0.25">
      <c r="A760" s="121"/>
      <c r="B760" s="23"/>
      <c r="C760" s="58"/>
      <c r="D760" s="643"/>
      <c r="E760" s="644"/>
      <c r="F760" s="31"/>
      <c r="G760" s="87"/>
      <c r="H760" s="645" t="s">
        <v>29</v>
      </c>
      <c r="I760" s="646"/>
      <c r="J760" s="40">
        <f>+$D$778</f>
        <v>44572</v>
      </c>
      <c r="K760" s="24"/>
      <c r="L760" s="24"/>
      <c r="M760" s="24"/>
      <c r="N760" s="25"/>
    </row>
    <row r="761" spans="1:15" ht="15.95" customHeight="1" x14ac:dyDescent="0.25">
      <c r="A761" s="121"/>
      <c r="B761" s="23"/>
      <c r="C761" s="59" t="s">
        <v>25</v>
      </c>
      <c r="D761" s="691"/>
      <c r="E761" s="692"/>
      <c r="F761" s="31"/>
      <c r="G761" s="87"/>
      <c r="H761" s="649" t="s">
        <v>30</v>
      </c>
      <c r="I761" s="650"/>
      <c r="J761" s="42" t="str">
        <f t="array" ref="J761">+IF(H772&gt;=M4,MIN(IF($H$765:$H$773&gt;$M$4,$H$765:$H$773,"")),"vencida")</f>
        <v>vencida</v>
      </c>
      <c r="K761" s="24"/>
      <c r="L761" s="24"/>
      <c r="M761" s="24"/>
      <c r="N761" s="25"/>
    </row>
    <row r="762" spans="1:15" ht="15.95" customHeight="1" x14ac:dyDescent="0.25">
      <c r="A762" s="121"/>
      <c r="B762" s="23"/>
      <c r="C762" s="59" t="s">
        <v>6</v>
      </c>
      <c r="D762" s="691" t="s">
        <v>275</v>
      </c>
      <c r="E762" s="692"/>
      <c r="F762" s="31"/>
      <c r="G762" s="87"/>
      <c r="H762" s="24"/>
      <c r="I762" s="24"/>
      <c r="J762" s="24"/>
      <c r="K762" s="24"/>
      <c r="L762" s="24"/>
      <c r="M762" s="24"/>
      <c r="N762" s="25"/>
      <c r="O762" s="97">
        <f>+M876</f>
        <v>-1050000</v>
      </c>
    </row>
    <row r="763" spans="1:15" ht="15.95" customHeight="1" x14ac:dyDescent="0.25">
      <c r="A763" s="121"/>
      <c r="B763" s="23"/>
      <c r="C763" s="59" t="s">
        <v>8</v>
      </c>
      <c r="D763" s="691" t="s">
        <v>17</v>
      </c>
      <c r="E763" s="692"/>
      <c r="F763" s="31"/>
      <c r="G763" s="87"/>
      <c r="H763" s="696" t="s">
        <v>41</v>
      </c>
      <c r="I763" s="697"/>
      <c r="J763" s="697"/>
      <c r="K763" s="697"/>
      <c r="L763" s="698"/>
      <c r="M763" s="24"/>
      <c r="N763" s="25"/>
      <c r="O763" s="97">
        <f t="shared" ref="O763:O774" si="61">+M877+O762</f>
        <v>-1031675.3424657534</v>
      </c>
    </row>
    <row r="764" spans="1:15" ht="15.95" customHeight="1" x14ac:dyDescent="0.25">
      <c r="A764" s="121"/>
      <c r="B764" s="23"/>
      <c r="C764" s="59" t="s">
        <v>33</v>
      </c>
      <c r="D764" s="132" t="s">
        <v>309</v>
      </c>
      <c r="E764" s="274">
        <v>1</v>
      </c>
      <c r="F764" s="281">
        <f>+E764*J759</f>
        <v>0</v>
      </c>
      <c r="G764" s="87"/>
      <c r="H764" s="146" t="s">
        <v>0</v>
      </c>
      <c r="I764" s="147" t="s">
        <v>2</v>
      </c>
      <c r="J764" s="147" t="s">
        <v>3</v>
      </c>
      <c r="K764" s="147" t="s">
        <v>4</v>
      </c>
      <c r="L764" s="148" t="s">
        <v>5</v>
      </c>
      <c r="M764" s="148" t="s">
        <v>44</v>
      </c>
      <c r="N764" s="25"/>
      <c r="O764" s="97">
        <f t="shared" si="61"/>
        <v>-1013149.3150684931</v>
      </c>
    </row>
    <row r="765" spans="1:15" ht="15.95" customHeight="1" x14ac:dyDescent="0.25">
      <c r="A765" s="121"/>
      <c r="B765" s="23"/>
      <c r="C765" s="59" t="s">
        <v>34</v>
      </c>
      <c r="D765" s="689" t="s">
        <v>48</v>
      </c>
      <c r="E765" s="690"/>
      <c r="F765" s="31"/>
      <c r="G765" s="87"/>
      <c r="H765" s="45"/>
      <c r="I765" s="46"/>
      <c r="J765" s="46"/>
      <c r="K765" s="46"/>
      <c r="L765" s="47"/>
      <c r="M765" s="101"/>
      <c r="N765" s="25"/>
      <c r="O765" s="97">
        <f t="shared" si="61"/>
        <v>-994623.28767123283</v>
      </c>
    </row>
    <row r="766" spans="1:15" ht="15.95" customHeight="1" x14ac:dyDescent="0.25">
      <c r="A766" s="121"/>
      <c r="B766" s="23"/>
      <c r="C766" s="79" t="s">
        <v>38</v>
      </c>
      <c r="D766" s="130"/>
      <c r="E766" s="131"/>
      <c r="F766" s="31"/>
      <c r="G766" s="87"/>
      <c r="H766" s="48">
        <f>+$D$777</f>
        <v>43476</v>
      </c>
      <c r="I766" s="136"/>
      <c r="J766" s="49"/>
      <c r="K766" s="49"/>
      <c r="L766" s="50">
        <f>+D779</f>
        <v>215000</v>
      </c>
      <c r="M766" s="102">
        <f>-L766</f>
        <v>-215000</v>
      </c>
      <c r="N766" s="25"/>
      <c r="O766" s="97">
        <f t="shared" si="61"/>
        <v>-976500</v>
      </c>
    </row>
    <row r="767" spans="1:15" ht="15.95" customHeight="1" x14ac:dyDescent="0.25">
      <c r="A767" s="121"/>
      <c r="B767" s="23"/>
      <c r="C767" s="59"/>
      <c r="D767" s="132"/>
      <c r="E767" s="133"/>
      <c r="F767" s="31"/>
      <c r="G767" s="87"/>
      <c r="H767" s="51">
        <f>IF(DAY(H766)=DAY($H$766),IF(WEEKDAY(EDATE(H766,$D$780),3)&lt;5,EDATE(H766,$D$780),WORKDAY(EDATE(H766,$D$780),1)),IF(WEEKDAY(EDATE($H$766,$D$780*COUNT($H$766:H766)),3)&lt;5,EDATE($H$766,$D$780*COUNT($H$766:H766)),WORKDAY(EDATE($H$766,$D$780*COUNT($H$766:H766)),1)))</f>
        <v>43657</v>
      </c>
      <c r="I767" s="137" t="s">
        <v>13</v>
      </c>
      <c r="J767" s="52">
        <f t="shared" ref="J767:J772" si="62">+(($D$782/365)*(H767-H766))*L766</f>
        <v>10661.64383561644</v>
      </c>
      <c r="K767" s="52">
        <f>+IF(OR(I767="A + C",I767="A"),$L$766*$D$783,0)</f>
        <v>35833.333333333336</v>
      </c>
      <c r="L767" s="53">
        <f t="shared" ref="L767:L772" si="63">+L766-K767</f>
        <v>179166.66666666666</v>
      </c>
      <c r="M767" s="103">
        <f t="shared" ref="M767:M772" si="64">+J767+K767</f>
        <v>46494.977168949772</v>
      </c>
      <c r="N767" s="25"/>
      <c r="O767" s="97">
        <f t="shared" si="61"/>
        <v>-958175.34246575343</v>
      </c>
    </row>
    <row r="768" spans="1:15" ht="15.95" customHeight="1" x14ac:dyDescent="0.25">
      <c r="A768" s="121"/>
      <c r="B768" s="23"/>
      <c r="C768" s="60"/>
      <c r="D768" s="134"/>
      <c r="E768" s="135"/>
      <c r="F768" s="34"/>
      <c r="G768" s="88"/>
      <c r="H768" s="51">
        <f>IF(DAY(H767)=DAY($H$766),IF(WEEKDAY(EDATE(H767,$D$780),3)&lt;5,EDATE(H767,$D$780),WORKDAY(EDATE(H767,$D$780),1)),IF(WEEKDAY(EDATE($H$766,$D$780*COUNT($H$766:H767)),3)&lt;5,EDATE($H$766,$D$780*COUNT($H$766:H767)),WORKDAY(EDATE($H$766,$D$780*COUNT($H$766:H767)),1)))</f>
        <v>43843</v>
      </c>
      <c r="I768" s="137" t="s">
        <v>13</v>
      </c>
      <c r="J768" s="52">
        <f t="shared" si="62"/>
        <v>9130.1369863013697</v>
      </c>
      <c r="K768" s="52">
        <f>+IF(OR(I768="A + C",I768="A"),$D$779*$D$783,0)</f>
        <v>35833.333333333336</v>
      </c>
      <c r="L768" s="53">
        <f t="shared" si="63"/>
        <v>143333.33333333331</v>
      </c>
      <c r="M768" s="103">
        <f t="shared" si="64"/>
        <v>44963.470319634704</v>
      </c>
      <c r="N768" s="25"/>
      <c r="O768" s="97">
        <f t="shared" si="61"/>
        <v>-939649.31506849313</v>
      </c>
    </row>
    <row r="769" spans="1:15" ht="15.95" customHeight="1" x14ac:dyDescent="0.25">
      <c r="A769" s="121"/>
      <c r="B769" s="23"/>
      <c r="C769" s="60"/>
      <c r="D769" s="55" t="str">
        <f>B757</f>
        <v>El Paso del Virrey I</v>
      </c>
      <c r="E769" s="64"/>
      <c r="F769" s="34"/>
      <c r="G769" s="88">
        <f>J759</f>
        <v>0</v>
      </c>
      <c r="H769" s="51">
        <f>IF(DAY(H768)=DAY($H$766),IF(WEEKDAY(EDATE(H768,$D$780),3)&lt;5,EDATE(H768,$D$780),WORKDAY(EDATE(H768,$D$780),1)),IF(WEEKDAY(EDATE($H$766,$D$780*COUNT($H$766:H768)),3)&lt;5,EDATE($H$766,$D$780*COUNT($H$766:H768)),WORKDAY(EDATE($H$766,$D$780*COUNT($H$766:H768)),1)))</f>
        <v>44025</v>
      </c>
      <c r="I769" s="137" t="s">
        <v>13</v>
      </c>
      <c r="J769" s="52">
        <f t="shared" si="62"/>
        <v>7147.0319634703201</v>
      </c>
      <c r="K769" s="52">
        <f>+IF(OR(I769="A + C",I769="A"),$D$779*$D$783,0)</f>
        <v>35833.333333333336</v>
      </c>
      <c r="L769" s="53">
        <f t="shared" si="63"/>
        <v>107499.99999999997</v>
      </c>
      <c r="M769" s="103">
        <f t="shared" si="64"/>
        <v>42980.365296803655</v>
      </c>
      <c r="N769" s="25"/>
      <c r="O769" s="97">
        <f t="shared" si="61"/>
        <v>-920720.54794520547</v>
      </c>
    </row>
    <row r="770" spans="1:15" ht="15.95" customHeight="1" x14ac:dyDescent="0.25">
      <c r="A770" s="121"/>
      <c r="B770" s="32"/>
      <c r="D770" s="671"/>
      <c r="E770" s="671"/>
      <c r="F770" s="34"/>
      <c r="G770" s="88"/>
      <c r="H770" s="51">
        <f>IF(DAY(H769)=DAY($H$766),IF(WEEKDAY(EDATE(H769,$D$780),3)&lt;5,EDATE(H769,$D$780),WORKDAY(EDATE(H769,$D$780),1)),IF(WEEKDAY(EDATE($H$766,$D$780*COUNT($H$766:H769)),3)&lt;5,EDATE($H$766,$D$780*COUNT($H$766:H769)),WORKDAY(EDATE($H$766,$D$780*COUNT($H$766:H769)),1)))</f>
        <v>44207</v>
      </c>
      <c r="I770" s="137" t="s">
        <v>13</v>
      </c>
      <c r="J770" s="52">
        <f t="shared" si="62"/>
        <v>5360.2739726027394</v>
      </c>
      <c r="K770" s="52">
        <f>+IF(OR(I770="A + C",I770="A"),$D$779*$D$783,0)</f>
        <v>35833.333333333336</v>
      </c>
      <c r="L770" s="53">
        <f t="shared" si="63"/>
        <v>71666.666666666628</v>
      </c>
      <c r="M770" s="103">
        <f t="shared" si="64"/>
        <v>41193.607305936079</v>
      </c>
      <c r="N770" s="25"/>
      <c r="O770" s="97">
        <f t="shared" si="61"/>
        <v>-377395.89041095891</v>
      </c>
    </row>
    <row r="771" spans="1:15" ht="15.95" customHeight="1" x14ac:dyDescent="0.25">
      <c r="A771" s="121"/>
      <c r="B771" s="23"/>
      <c r="C771" s="638" t="s">
        <v>36</v>
      </c>
      <c r="D771" s="640"/>
      <c r="E771" s="36"/>
      <c r="F771" s="34"/>
      <c r="G771" s="88"/>
      <c r="H771" s="51">
        <f>IF(DAY(H770)=DAY($H$766),IF(WEEKDAY(EDATE(H770,$D$780),3)&lt;5,EDATE(H770,$D$780),WORKDAY(EDATE(H770,$D$780),1)),IF(WEEKDAY(EDATE($H$766,$D$780*COUNT($H$766:H770)),3)&lt;5,EDATE($H$766,$D$780*COUNT($H$766:H770)),WORKDAY(EDATE($H$766,$D$780*COUNT($H$766:H770)),1)))</f>
        <v>44389</v>
      </c>
      <c r="I771" s="137" t="s">
        <v>13</v>
      </c>
      <c r="J771" s="52">
        <f t="shared" si="62"/>
        <v>3573.5159817351582</v>
      </c>
      <c r="K771" s="52">
        <f>+IF(OR(I771="A + C",I771="A"),$D$779*$D$783,0)</f>
        <v>35833.333333333336</v>
      </c>
      <c r="L771" s="53">
        <f t="shared" si="63"/>
        <v>35833.333333333292</v>
      </c>
      <c r="M771" s="103">
        <f t="shared" si="64"/>
        <v>39406.849315068495</v>
      </c>
      <c r="N771" s="25"/>
      <c r="O771" s="97">
        <f t="shared" si="61"/>
        <v>-368233.56164383562</v>
      </c>
    </row>
    <row r="772" spans="1:15" ht="15.95" customHeight="1" x14ac:dyDescent="0.25">
      <c r="A772" s="121"/>
      <c r="B772" s="23"/>
      <c r="C772" s="59"/>
      <c r="D772" s="62"/>
      <c r="E772" s="36"/>
      <c r="F772" s="36"/>
      <c r="G772" s="89"/>
      <c r="H772" s="51">
        <f>IF(DAY(H771)=DAY($H$766),IF(WEEKDAY(EDATE(H771,$D$780),3)&lt;5,EDATE(H771,$D$780),WORKDAY(EDATE(H771,$D$780),1)),IF(WEEKDAY(EDATE($H$766,$D$780*COUNT($H$766:H771)),3)&lt;5,EDATE($H$766,$D$780*COUNT($H$766:H771)),WORKDAY(EDATE($H$766,$D$780*COUNT($H$766:H771)),1)))</f>
        <v>44572</v>
      </c>
      <c r="I772" s="137" t="s">
        <v>13</v>
      </c>
      <c r="J772" s="52">
        <f t="shared" si="62"/>
        <v>1796.5753424657516</v>
      </c>
      <c r="K772" s="52">
        <f>+IF(OR(I772="A + C",I772="A"),$D$779*$D$783,0)</f>
        <v>35833.333333333336</v>
      </c>
      <c r="L772" s="53">
        <f t="shared" si="63"/>
        <v>0</v>
      </c>
      <c r="M772" s="103">
        <f t="shared" si="64"/>
        <v>37629.908675799088</v>
      </c>
      <c r="N772" s="25"/>
      <c r="O772" s="97">
        <f t="shared" si="61"/>
        <v>-359071.23287671234</v>
      </c>
    </row>
    <row r="773" spans="1:15" ht="15.95" customHeight="1" x14ac:dyDescent="0.25">
      <c r="A773" s="121"/>
      <c r="B773" s="23"/>
      <c r="C773" s="59" t="s">
        <v>9</v>
      </c>
      <c r="D773" s="129" t="s">
        <v>49</v>
      </c>
      <c r="E773" s="36"/>
      <c r="F773" s="36"/>
      <c r="G773" s="89"/>
      <c r="H773" s="54"/>
      <c r="I773" s="144"/>
      <c r="J773" s="55"/>
      <c r="K773" s="56"/>
      <c r="L773" s="57"/>
      <c r="M773" s="108"/>
      <c r="N773" s="25"/>
      <c r="O773" s="97">
        <f t="shared" si="61"/>
        <v>-349908.90410958906</v>
      </c>
    </row>
    <row r="774" spans="1:15" ht="15.95" customHeight="1" x14ac:dyDescent="0.25">
      <c r="A774" s="121"/>
      <c r="B774" s="23"/>
      <c r="C774" s="59" t="s">
        <v>51</v>
      </c>
      <c r="D774" s="138" t="s">
        <v>18</v>
      </c>
      <c r="E774" s="36"/>
      <c r="F774" s="36"/>
      <c r="G774" s="89"/>
      <c r="H774" s="24"/>
      <c r="I774" s="24"/>
      <c r="J774" s="24"/>
      <c r="K774" s="24"/>
      <c r="L774" s="24"/>
      <c r="M774" s="24"/>
      <c r="N774" s="25"/>
      <c r="O774" s="97">
        <f t="shared" si="61"/>
        <v>184253.42465753423</v>
      </c>
    </row>
    <row r="775" spans="1:15" ht="15.95" customHeight="1" x14ac:dyDescent="0.25">
      <c r="A775" s="121"/>
      <c r="B775" s="23"/>
      <c r="C775" s="59" t="s">
        <v>52</v>
      </c>
      <c r="D775" s="138" t="s">
        <v>18</v>
      </c>
      <c r="E775" s="36"/>
      <c r="F775" s="36"/>
      <c r="G775" s="89"/>
      <c r="H775" s="680" t="s">
        <v>43</v>
      </c>
      <c r="I775" s="680"/>
      <c r="J775" s="92">
        <v>0</v>
      </c>
      <c r="K775" s="92"/>
      <c r="L775" s="24"/>
      <c r="M775" s="24"/>
      <c r="N775" s="25"/>
    </row>
    <row r="776" spans="1:15" ht="15.95" customHeight="1" x14ac:dyDescent="0.25">
      <c r="A776" s="121"/>
      <c r="B776" s="23"/>
      <c r="C776" s="59" t="s">
        <v>10</v>
      </c>
      <c r="D776" s="139">
        <v>43473</v>
      </c>
      <c r="E776" s="36"/>
      <c r="F776" s="36"/>
      <c r="G776" s="89"/>
      <c r="H776" s="657"/>
      <c r="I776" s="657"/>
      <c r="J776" s="392"/>
      <c r="K776" s="24"/>
      <c r="L776" s="33"/>
      <c r="M776" s="33"/>
      <c r="N776" s="25"/>
    </row>
    <row r="777" spans="1:15" ht="15.95" customHeight="1" x14ac:dyDescent="0.25">
      <c r="A777" s="121"/>
      <c r="B777" s="23"/>
      <c r="C777" s="59" t="s">
        <v>11</v>
      </c>
      <c r="D777" s="139">
        <v>43476</v>
      </c>
      <c r="E777" s="41"/>
      <c r="F777" s="24"/>
      <c r="G777" s="90"/>
      <c r="H777" s="24"/>
      <c r="I777" s="24"/>
      <c r="J777" s="24"/>
      <c r="K777" s="24"/>
      <c r="L777" s="24"/>
      <c r="M777" s="24"/>
      <c r="N777" s="25"/>
    </row>
    <row r="778" spans="1:15" ht="15.95" customHeight="1" x14ac:dyDescent="0.25">
      <c r="A778" s="121"/>
      <c r="B778" s="23"/>
      <c r="C778" s="59" t="s">
        <v>12</v>
      </c>
      <c r="D778" s="139">
        <v>44572</v>
      </c>
      <c r="E778" s="36"/>
      <c r="F778" s="24"/>
      <c r="G778" s="90"/>
      <c r="H778" s="638" t="s">
        <v>44</v>
      </c>
      <c r="I778" s="639"/>
      <c r="J778" s="639"/>
      <c r="K778" s="639"/>
      <c r="L778" s="639"/>
      <c r="M778" s="640"/>
      <c r="N778" s="25"/>
    </row>
    <row r="779" spans="1:15" ht="15.95" customHeight="1" x14ac:dyDescent="0.25">
      <c r="A779" s="121"/>
      <c r="B779" s="23"/>
      <c r="C779" s="59" t="s">
        <v>27</v>
      </c>
      <c r="D779" s="140">
        <v>215000</v>
      </c>
      <c r="E779" s="43"/>
      <c r="F779" s="24"/>
      <c r="G779" s="90"/>
      <c r="H779" s="23"/>
      <c r="I779" s="24"/>
      <c r="J779" s="24"/>
      <c r="K779" s="24"/>
      <c r="L779" s="24"/>
      <c r="M779" s="25"/>
      <c r="N779" s="25"/>
    </row>
    <row r="780" spans="1:15" ht="15.95" customHeight="1" x14ac:dyDescent="0.25">
      <c r="A780" s="121"/>
      <c r="B780" s="23"/>
      <c r="C780" s="59" t="s">
        <v>26</v>
      </c>
      <c r="D780" s="140">
        <v>6</v>
      </c>
      <c r="E780" s="43"/>
      <c r="F780" s="24"/>
      <c r="G780" s="90"/>
      <c r="H780" s="23"/>
      <c r="I780" s="24"/>
      <c r="J780" s="24"/>
      <c r="K780" s="24"/>
      <c r="L780" s="24"/>
      <c r="M780" s="25"/>
      <c r="N780" s="25"/>
    </row>
    <row r="781" spans="1:15" ht="15.95" customHeight="1" x14ac:dyDescent="0.25">
      <c r="A781" s="121"/>
      <c r="B781" s="23"/>
      <c r="C781" s="59" t="s">
        <v>19</v>
      </c>
      <c r="D781" s="141" t="s">
        <v>50</v>
      </c>
      <c r="E781" s="43"/>
      <c r="F781" s="24"/>
      <c r="G781" s="90"/>
      <c r="H781" s="96"/>
      <c r="I781" s="35"/>
      <c r="J781" s="24"/>
      <c r="K781" s="24"/>
      <c r="L781" s="24"/>
      <c r="M781" s="25"/>
      <c r="N781" s="25"/>
    </row>
    <row r="782" spans="1:15" ht="15.95" customHeight="1" x14ac:dyDescent="0.25">
      <c r="A782" s="121"/>
      <c r="B782" s="23"/>
      <c r="C782" s="59" t="s">
        <v>14</v>
      </c>
      <c r="D782" s="142">
        <v>0.1</v>
      </c>
      <c r="E782" s="44"/>
      <c r="F782" s="24"/>
      <c r="G782" s="90"/>
      <c r="H782" s="23"/>
      <c r="I782" s="24"/>
      <c r="J782" s="24"/>
      <c r="K782" s="24"/>
      <c r="L782" s="24"/>
      <c r="M782" s="25"/>
      <c r="N782" s="25"/>
    </row>
    <row r="783" spans="1:15" ht="15.95" customHeight="1" x14ac:dyDescent="0.25">
      <c r="A783" s="121"/>
      <c r="B783" s="23"/>
      <c r="C783" s="59" t="s">
        <v>81</v>
      </c>
      <c r="D783" s="143">
        <v>0.16666666666666669</v>
      </c>
      <c r="E783" s="24"/>
      <c r="F783" s="24"/>
      <c r="G783" s="90"/>
      <c r="H783" s="23"/>
      <c r="I783" s="24"/>
      <c r="J783" s="24"/>
      <c r="K783" s="24"/>
      <c r="L783" s="24"/>
      <c r="M783" s="25"/>
      <c r="N783" s="25"/>
    </row>
    <row r="784" spans="1:15" ht="15.95" customHeight="1" x14ac:dyDescent="0.25">
      <c r="A784" s="121"/>
      <c r="B784" s="23"/>
      <c r="C784" s="60"/>
      <c r="D784" s="149"/>
      <c r="E784" s="24"/>
      <c r="F784" s="24"/>
      <c r="G784" s="90"/>
      <c r="H784" s="23"/>
      <c r="I784" s="24"/>
      <c r="J784" s="24"/>
      <c r="K784" s="24"/>
      <c r="L784" s="24"/>
      <c r="M784" s="25"/>
      <c r="N784" s="25"/>
    </row>
    <row r="785" spans="1:15" ht="15.95" customHeight="1" x14ac:dyDescent="0.25">
      <c r="A785" s="121"/>
      <c r="B785" s="23"/>
      <c r="C785" s="24"/>
      <c r="D785" s="24"/>
      <c r="E785" s="24"/>
      <c r="F785" s="24"/>
      <c r="G785" s="90"/>
      <c r="H785" s="23"/>
      <c r="I785" s="24"/>
      <c r="J785" s="24"/>
      <c r="K785" s="24"/>
      <c r="L785" s="24"/>
      <c r="M785" s="25"/>
      <c r="N785" s="25"/>
    </row>
    <row r="786" spans="1:15" ht="15.95" customHeight="1" x14ac:dyDescent="0.25">
      <c r="A786" s="121"/>
      <c r="B786" s="23"/>
      <c r="C786" s="24"/>
      <c r="D786" s="24"/>
      <c r="E786" s="24"/>
      <c r="F786" s="24"/>
      <c r="G786" s="90"/>
      <c r="H786" s="23"/>
      <c r="I786" s="24"/>
      <c r="J786" s="24"/>
      <c r="K786" s="24"/>
      <c r="L786" s="24"/>
      <c r="M786" s="25"/>
      <c r="N786" s="25"/>
    </row>
    <row r="787" spans="1:15" ht="15.95" customHeight="1" x14ac:dyDescent="0.25">
      <c r="A787" s="121"/>
      <c r="B787" s="23"/>
      <c r="C787" s="24"/>
      <c r="D787" s="24"/>
      <c r="E787" s="24"/>
      <c r="F787" s="24"/>
      <c r="G787" s="90"/>
      <c r="H787" s="23"/>
      <c r="I787" s="24"/>
      <c r="J787" s="24"/>
      <c r="K787" s="24"/>
      <c r="L787" s="24"/>
      <c r="M787" s="25"/>
      <c r="N787" s="25"/>
    </row>
    <row r="788" spans="1:15" ht="15.95" customHeight="1" x14ac:dyDescent="0.25">
      <c r="A788" s="121"/>
      <c r="B788" s="23"/>
      <c r="C788" s="24"/>
      <c r="D788" s="24"/>
      <c r="E788" s="24"/>
      <c r="F788" s="24"/>
      <c r="G788" s="90"/>
      <c r="H788" s="23"/>
      <c r="I788" s="24"/>
      <c r="J788" s="24"/>
      <c r="K788" s="24"/>
      <c r="L788" s="24"/>
      <c r="M788" s="25"/>
      <c r="N788" s="25"/>
    </row>
    <row r="789" spans="1:15" ht="15.95" customHeight="1" x14ac:dyDescent="0.25">
      <c r="A789" s="121"/>
      <c r="B789" s="23"/>
      <c r="C789" s="24"/>
      <c r="D789" s="24"/>
      <c r="E789" s="24"/>
      <c r="F789" s="24"/>
      <c r="G789" s="90"/>
      <c r="H789" s="23"/>
      <c r="I789" s="24"/>
      <c r="J789" s="24"/>
      <c r="K789" s="24"/>
      <c r="L789" s="24"/>
      <c r="M789" s="25"/>
      <c r="N789" s="25"/>
    </row>
    <row r="790" spans="1:15" ht="15.95" customHeight="1" x14ac:dyDescent="0.25">
      <c r="A790" s="121"/>
      <c r="B790" s="23"/>
      <c r="C790" s="24"/>
      <c r="D790" s="24"/>
      <c r="E790" s="24"/>
      <c r="F790" s="24"/>
      <c r="G790" s="90"/>
      <c r="H790" s="26"/>
      <c r="I790" s="27"/>
      <c r="J790" s="27"/>
      <c r="K790" s="27"/>
      <c r="L790" s="27"/>
      <c r="M790" s="28"/>
      <c r="N790" s="25"/>
    </row>
    <row r="791" spans="1:15" ht="15.95" customHeight="1" x14ac:dyDescent="0.25">
      <c r="A791" s="121"/>
      <c r="B791" s="26"/>
      <c r="C791" s="85"/>
      <c r="D791" s="27"/>
      <c r="E791" s="27"/>
      <c r="F791" s="27"/>
      <c r="G791" s="91"/>
      <c r="H791" s="27"/>
      <c r="I791" s="27"/>
      <c r="J791" s="27"/>
      <c r="K791" s="27"/>
      <c r="L791" s="27"/>
      <c r="M791" s="27"/>
      <c r="N791" s="28"/>
    </row>
    <row r="792" spans="1:15" ht="15.95" customHeight="1" x14ac:dyDescent="0.25">
      <c r="A792" s="121"/>
      <c r="B792" s="23"/>
      <c r="C792" s="24"/>
      <c r="D792" s="24"/>
      <c r="E792" s="24"/>
      <c r="F792" s="24"/>
      <c r="G792" s="24"/>
      <c r="H792" s="24"/>
      <c r="I792" s="24"/>
      <c r="J792" s="24"/>
      <c r="K792" s="24"/>
      <c r="L792" s="24"/>
      <c r="M792" s="24"/>
      <c r="N792" s="25"/>
    </row>
    <row r="793" spans="1:15" ht="15.95" customHeight="1" x14ac:dyDescent="0.25">
      <c r="A793" s="121"/>
      <c r="B793" s="683" t="s">
        <v>193</v>
      </c>
      <c r="C793" s="684"/>
      <c r="D793" s="684"/>
      <c r="E793" s="684"/>
      <c r="F793" s="684"/>
      <c r="G793" s="684"/>
      <c r="H793" s="684"/>
      <c r="I793" s="684"/>
      <c r="J793" s="684"/>
      <c r="K793" s="684"/>
      <c r="L793" s="684"/>
      <c r="M793" s="684"/>
      <c r="N793" s="685"/>
    </row>
    <row r="794" spans="1:15" ht="20.100000000000001" customHeight="1" x14ac:dyDescent="0.25">
      <c r="A794" s="121"/>
      <c r="B794" s="23"/>
      <c r="C794" s="24"/>
      <c r="D794" s="24"/>
      <c r="E794" s="24"/>
      <c r="F794" s="31"/>
      <c r="G794" s="87"/>
      <c r="H794" s="31"/>
      <c r="I794" s="31"/>
      <c r="J794" s="24"/>
      <c r="K794" s="24"/>
      <c r="L794" s="24"/>
      <c r="M794" s="24"/>
      <c r="N794" s="25"/>
    </row>
    <row r="795" spans="1:15" ht="15.95" customHeight="1" x14ac:dyDescent="0.25">
      <c r="A795" s="121"/>
      <c r="B795" s="23"/>
      <c r="C795" s="638" t="s">
        <v>37</v>
      </c>
      <c r="D795" s="639"/>
      <c r="E795" s="640"/>
      <c r="F795" s="31"/>
      <c r="G795" s="87"/>
      <c r="H795" s="641" t="s">
        <v>28</v>
      </c>
      <c r="I795" s="642"/>
      <c r="J795" s="39">
        <f>+$D$816-SUMIF($H$801:$H$808,"&lt;"&amp;$M$4,$K$801:$K$808)</f>
        <v>0</v>
      </c>
      <c r="K795" s="24"/>
      <c r="L795" s="24"/>
      <c r="M795" s="24"/>
      <c r="N795" s="25"/>
    </row>
    <row r="796" spans="1:15" ht="15.95" customHeight="1" x14ac:dyDescent="0.25">
      <c r="A796" s="121"/>
      <c r="B796" s="23"/>
      <c r="C796" s="58"/>
      <c r="D796" s="664"/>
      <c r="E796" s="665"/>
      <c r="F796" s="31"/>
      <c r="G796" s="87"/>
      <c r="H796" s="645" t="s">
        <v>29</v>
      </c>
      <c r="I796" s="646"/>
      <c r="J796" s="40">
        <f>+$D$815</f>
        <v>44268</v>
      </c>
      <c r="K796" s="24"/>
      <c r="L796" s="24"/>
      <c r="M796" s="24"/>
      <c r="N796" s="25"/>
    </row>
    <row r="797" spans="1:15" ht="15.95" customHeight="1" x14ac:dyDescent="0.25">
      <c r="A797" s="121"/>
      <c r="B797" s="23"/>
      <c r="C797" s="59" t="s">
        <v>25</v>
      </c>
      <c r="D797" s="681"/>
      <c r="E797" s="682"/>
      <c r="F797" s="31"/>
      <c r="G797" s="87"/>
      <c r="H797" s="649" t="s">
        <v>30</v>
      </c>
      <c r="I797" s="650"/>
      <c r="J797" s="42" t="str">
        <f t="array" ref="J797">+IF(H808&gt;=M4,MIN(IF($H$801:$H$808&gt;$M$4,$H$801:$H$808,"")),"vencida")</f>
        <v>vencida</v>
      </c>
      <c r="K797" s="24"/>
      <c r="L797" s="24"/>
      <c r="M797" s="24"/>
      <c r="N797" s="25"/>
    </row>
    <row r="798" spans="1:15" ht="15.95" customHeight="1" x14ac:dyDescent="0.25">
      <c r="A798" s="121"/>
      <c r="B798" s="23"/>
      <c r="C798" s="59" t="s">
        <v>6</v>
      </c>
      <c r="D798" s="681" t="s">
        <v>237</v>
      </c>
      <c r="E798" s="682"/>
      <c r="F798" s="31"/>
      <c r="G798" s="87"/>
      <c r="H798" s="24"/>
      <c r="I798" s="24"/>
      <c r="J798" s="24"/>
      <c r="K798" s="24"/>
      <c r="L798" s="24"/>
      <c r="M798" s="24"/>
      <c r="N798" s="25"/>
      <c r="O798" s="194" t="str">
        <f>+D873</f>
        <v>ON Pyme CNV Garantizada</v>
      </c>
    </row>
    <row r="799" spans="1:15" ht="15.95" customHeight="1" x14ac:dyDescent="0.25">
      <c r="A799" s="121"/>
      <c r="B799" s="23"/>
      <c r="C799" s="59" t="s">
        <v>8</v>
      </c>
      <c r="D799" s="681" t="s">
        <v>17</v>
      </c>
      <c r="E799" s="682"/>
      <c r="F799" s="31"/>
      <c r="G799" s="87"/>
      <c r="H799" s="651" t="s">
        <v>41</v>
      </c>
      <c r="I799" s="652"/>
      <c r="J799" s="652"/>
      <c r="K799" s="652"/>
      <c r="L799" s="653"/>
      <c r="M799" s="24"/>
      <c r="N799" s="25"/>
    </row>
    <row r="800" spans="1:15" ht="15.95" customHeight="1" x14ac:dyDescent="0.25">
      <c r="A800" s="121"/>
      <c r="B800" s="23"/>
      <c r="C800" s="59" t="s">
        <v>33</v>
      </c>
      <c r="D800" s="132" t="s">
        <v>293</v>
      </c>
      <c r="E800" s="274">
        <v>0.4</v>
      </c>
      <c r="F800" s="281">
        <f>+E800*$J$795</f>
        <v>0</v>
      </c>
      <c r="G800" s="87"/>
      <c r="H800" s="126" t="s">
        <v>0</v>
      </c>
      <c r="I800" s="127" t="s">
        <v>2</v>
      </c>
      <c r="J800" s="127" t="s">
        <v>3</v>
      </c>
      <c r="K800" s="127" t="s">
        <v>4</v>
      </c>
      <c r="L800" s="128" t="s">
        <v>5</v>
      </c>
      <c r="M800" s="127" t="s">
        <v>44</v>
      </c>
      <c r="N800" s="25"/>
      <c r="O800" s="194" t="str">
        <f>+IF(J914="vencida",IF(D873='Reporte - Oscuro'!$C$40,'Reporte - Oscuro'!$C$40&amp;" vencida",IF(D873='Reporte - Oscuro'!$C$41,'Reporte - Oscuro'!$C$41&amp;" vencida",IF(D873='Reporte - Oscuro'!$C$42,'Reporte - Oscuro'!$C$42&amp;" vencida",'Reporte - Oscuro'!$C$43&amp;" vencida"))),D873&amp;" vigente")</f>
        <v>ON Pyme CNV Garantizada vencida</v>
      </c>
    </row>
    <row r="801" spans="1:15" ht="15.95" customHeight="1" x14ac:dyDescent="0.25">
      <c r="A801" s="121"/>
      <c r="B801" s="23"/>
      <c r="C801" s="278" t="s">
        <v>33</v>
      </c>
      <c r="D801" s="132" t="s">
        <v>297</v>
      </c>
      <c r="E801" s="274">
        <v>0.6</v>
      </c>
      <c r="F801" s="281">
        <f>+E801*$J$795</f>
        <v>0</v>
      </c>
      <c r="G801" s="87"/>
      <c r="H801" s="45"/>
      <c r="I801" s="46"/>
      <c r="J801" s="46"/>
      <c r="K801" s="46"/>
      <c r="L801" s="47"/>
      <c r="M801" s="23"/>
      <c r="N801" s="25"/>
    </row>
    <row r="802" spans="1:15" ht="15.95" customHeight="1" x14ac:dyDescent="0.25">
      <c r="A802" s="121"/>
      <c r="B802" s="23"/>
      <c r="C802" s="59" t="s">
        <v>34</v>
      </c>
      <c r="D802" s="681" t="s">
        <v>48</v>
      </c>
      <c r="E802" s="682"/>
      <c r="F802" s="31"/>
      <c r="G802" s="87"/>
      <c r="H802" s="48">
        <f>+$D$814</f>
        <v>43172</v>
      </c>
      <c r="I802" s="136"/>
      <c r="J802" s="49"/>
      <c r="K802" s="49"/>
      <c r="L802" s="50">
        <f>+D816</f>
        <v>600000</v>
      </c>
      <c r="M802" s="93">
        <f>-L802</f>
        <v>-600000</v>
      </c>
      <c r="N802" s="25"/>
    </row>
    <row r="803" spans="1:15" ht="15.95" customHeight="1" x14ac:dyDescent="0.25">
      <c r="A803" s="121"/>
      <c r="B803" s="23"/>
      <c r="C803" s="79" t="s">
        <v>38</v>
      </c>
      <c r="D803" s="130"/>
      <c r="E803" s="131"/>
      <c r="F803" s="31"/>
      <c r="G803" s="87"/>
      <c r="H803" s="51">
        <f>IF(DAY(H802)=DAY($H$802),IF(WEEKDAY(EDATE(H802,$D$817),3)&lt;5,EDATE(H802,$D$817),WORKDAY(EDATE(H802,$D$817),1)),IF(WEEKDAY(EDATE($H$802,$D$817*COUNT($H$802:H802)),3)&lt;5,EDATE($H$802,$D$817*COUNT($H$802:H802)),WORKDAY(EDATE($H$802,$D$817*COUNT($H$802:H802)),1)))</f>
        <v>43356</v>
      </c>
      <c r="I803" s="137" t="s">
        <v>7</v>
      </c>
      <c r="J803" s="52">
        <f t="shared" ref="J803:J808" si="65">+(($D$819/365)*(H803-H802))*L802</f>
        <v>19660.273972602739</v>
      </c>
      <c r="K803" s="52">
        <f>+IF(OR(I803="A + C",I803="A"),$L$802*$D$820,0)</f>
        <v>0</v>
      </c>
      <c r="L803" s="53">
        <f t="shared" ref="L803:L808" si="66">+L802-K803</f>
        <v>600000</v>
      </c>
      <c r="M803" s="94">
        <f t="shared" ref="M803:M808" si="67">+J803+K803</f>
        <v>19660.273972602739</v>
      </c>
      <c r="N803" s="25"/>
    </row>
    <row r="804" spans="1:15" ht="15.95" customHeight="1" x14ac:dyDescent="0.25">
      <c r="A804" s="121"/>
      <c r="B804" s="23"/>
      <c r="C804" s="59"/>
      <c r="D804" s="132"/>
      <c r="E804" s="133"/>
      <c r="F804" s="34"/>
      <c r="G804" s="88"/>
      <c r="H804" s="51">
        <f>IF(DAY(H803)=DAY($H$802),IF(WEEKDAY(EDATE(H803,$D$817),3)&lt;5,EDATE(H803,$D$817),WORKDAY(EDATE(H803,$D$817),1)),IF(WEEKDAY(EDATE($H$802,$D$817*COUNT($H$802:H803)),3)&lt;5,EDATE($H$802,$D$817*COUNT($H$802:H803)),WORKDAY(EDATE($H$802,$D$817*COUNT($H$802:H803)),1)))</f>
        <v>43537</v>
      </c>
      <c r="I804" s="137" t="s">
        <v>7</v>
      </c>
      <c r="J804" s="52">
        <f t="shared" si="65"/>
        <v>19339.726027397261</v>
      </c>
      <c r="K804" s="52">
        <f>+IF(OR(I804="A + C",I804="A"),$D$816*$D$820,0)</f>
        <v>0</v>
      </c>
      <c r="L804" s="53">
        <f t="shared" si="66"/>
        <v>600000</v>
      </c>
      <c r="M804" s="94">
        <f t="shared" si="67"/>
        <v>19339.726027397261</v>
      </c>
      <c r="N804" s="25"/>
    </row>
    <row r="805" spans="1:15" ht="15.95" customHeight="1" x14ac:dyDescent="0.25">
      <c r="A805" s="121"/>
      <c r="B805" s="23"/>
      <c r="C805" s="60"/>
      <c r="D805" s="134"/>
      <c r="E805" s="135"/>
      <c r="F805" s="34"/>
      <c r="G805" s="88"/>
      <c r="H805" s="51">
        <f>IF(DAY(H804)=DAY($H$802),IF(WEEKDAY(EDATE(H804,$D$817),3)&lt;5,EDATE(H804,$D$817),WORKDAY(EDATE(H804,$D$817),1)),IF(WEEKDAY(EDATE($H$802,$D$817*COUNT($H$802:H804)),3)&lt;5,EDATE($H$802,$D$817*COUNT($H$802:H804)),WORKDAY(EDATE($H$802,$D$817*COUNT($H$802:H804)),1)))</f>
        <v>43721</v>
      </c>
      <c r="I805" s="137" t="s">
        <v>13</v>
      </c>
      <c r="J805" s="52">
        <f t="shared" si="65"/>
        <v>19660.273972602739</v>
      </c>
      <c r="K805" s="52">
        <f>+IF(OR(I805="A + C",I805="A"),$D$816*$D$820,0)</f>
        <v>150000</v>
      </c>
      <c r="L805" s="53">
        <f t="shared" si="66"/>
        <v>450000</v>
      </c>
      <c r="M805" s="94">
        <f t="shared" si="67"/>
        <v>169660.27397260274</v>
      </c>
      <c r="N805" s="25"/>
      <c r="O805" s="97">
        <f>+M919</f>
        <v>-450000</v>
      </c>
    </row>
    <row r="806" spans="1:15" ht="15.95" customHeight="1" x14ac:dyDescent="0.25">
      <c r="A806" s="121"/>
      <c r="B806" s="32"/>
      <c r="C806" s="60"/>
      <c r="D806" s="275" t="str">
        <f>B793</f>
        <v>Elyon I</v>
      </c>
      <c r="E806" s="276"/>
      <c r="F806" s="34"/>
      <c r="G806" s="88">
        <f>J795</f>
        <v>0</v>
      </c>
      <c r="H806" s="51">
        <f>IF(DAY(H805)=DAY($H$802),IF(WEEKDAY(EDATE(H805,$D$817),3)&lt;5,EDATE(H805,$D$817),WORKDAY(EDATE(H805,$D$817),1)),IF(WEEKDAY(EDATE($H$802,$D$817*COUNT($H$802:H805)),3)&lt;5,EDATE($H$802,$D$817*COUNT($H$802:H805)),WORKDAY(EDATE($H$802,$D$817*COUNT($H$802:H805)),1)))</f>
        <v>43903</v>
      </c>
      <c r="I806" s="137" t="s">
        <v>13</v>
      </c>
      <c r="J806" s="52">
        <f t="shared" si="65"/>
        <v>14584.931506849316</v>
      </c>
      <c r="K806" s="52">
        <f>+IF(OR(I806="A + C",I806="A"),$D$816*$D$820,0)</f>
        <v>150000</v>
      </c>
      <c r="L806" s="53">
        <f t="shared" si="66"/>
        <v>300000</v>
      </c>
      <c r="M806" s="94">
        <f t="shared" si="67"/>
        <v>164584.9315068493</v>
      </c>
      <c r="N806" s="25"/>
      <c r="O806" s="97">
        <f t="shared" ref="O806:O821" si="68">+M920+O805</f>
        <v>-441585.61643835617</v>
      </c>
    </row>
    <row r="807" spans="1:15" ht="15.95" customHeight="1" x14ac:dyDescent="0.25">
      <c r="A807" s="121"/>
      <c r="B807" s="23"/>
      <c r="D807" s="277"/>
      <c r="E807" s="277"/>
      <c r="F807" s="34"/>
      <c r="G807" s="88"/>
      <c r="H807" s="51">
        <f>IF(DAY(H806)=DAY($H$802),IF(WEEKDAY(EDATE(H806,$D$817),3)&lt;5,EDATE(H806,$D$817),WORKDAY(EDATE(H806,$D$817),1)),IF(WEEKDAY(EDATE($H$802,$D$817*COUNT($H$802:H806)),3)&lt;5,EDATE($H$802,$D$817*COUNT($H$802:H806)),WORKDAY(EDATE($H$802,$D$817*COUNT($H$802:H806)),1)))</f>
        <v>44088</v>
      </c>
      <c r="I807" s="137" t="s">
        <v>13</v>
      </c>
      <c r="J807" s="52">
        <f t="shared" si="65"/>
        <v>9883.5616438356155</v>
      </c>
      <c r="K807" s="52">
        <f>+IF(OR(I807="A + C",I807="A"),$D$816*$D$820,0)</f>
        <v>150000</v>
      </c>
      <c r="L807" s="53">
        <f t="shared" si="66"/>
        <v>150000</v>
      </c>
      <c r="M807" s="94">
        <f t="shared" si="67"/>
        <v>159883.56164383562</v>
      </c>
      <c r="N807" s="25"/>
      <c r="O807" s="97">
        <f t="shared" si="68"/>
        <v>-433078.76712328766</v>
      </c>
    </row>
    <row r="808" spans="1:15" ht="15.95" customHeight="1" x14ac:dyDescent="0.25">
      <c r="A808" s="121"/>
      <c r="B808" s="23"/>
      <c r="C808" s="638" t="s">
        <v>36</v>
      </c>
      <c r="D808" s="640"/>
      <c r="E808" s="36"/>
      <c r="F808" s="36"/>
      <c r="G808" s="89"/>
      <c r="H808" s="51">
        <f>IF(DAY(H807)=DAY($H$802),IF(WEEKDAY(EDATE(H807,$D$817),3)&lt;5,EDATE(H807,$D$817),WORKDAY(EDATE(H807,$D$817),1)),IF(WEEKDAY(EDATE($H$802,$D$817*COUNT($H$802:H807)),3)&lt;5,EDATE($H$802,$D$817*COUNT($H$802:H807)),WORKDAY(EDATE($H$802,$D$817*COUNT($H$802:H807)),1)))</f>
        <v>44270</v>
      </c>
      <c r="I808" s="137" t="s">
        <v>13</v>
      </c>
      <c r="J808" s="52">
        <f t="shared" si="65"/>
        <v>4861.6438356164381</v>
      </c>
      <c r="K808" s="52">
        <f>+IF(OR(I808="A + C",I808="A"),$D$816*$D$820,0)</f>
        <v>150000</v>
      </c>
      <c r="L808" s="53">
        <f t="shared" si="66"/>
        <v>0</v>
      </c>
      <c r="M808" s="94">
        <f t="shared" si="67"/>
        <v>154861.64383561644</v>
      </c>
      <c r="N808" s="25"/>
      <c r="O808" s="97">
        <f t="shared" si="68"/>
        <v>-424571.91780821915</v>
      </c>
    </row>
    <row r="809" spans="1:15" ht="15.95" customHeight="1" x14ac:dyDescent="0.25">
      <c r="A809" s="121"/>
      <c r="B809" s="23"/>
      <c r="C809" s="59"/>
      <c r="D809" s="62"/>
      <c r="E809" s="36"/>
      <c r="F809" s="36"/>
      <c r="G809" s="89"/>
      <c r="H809" s="54"/>
      <c r="I809" s="144"/>
      <c r="J809" s="55"/>
      <c r="K809" s="56"/>
      <c r="L809" s="57"/>
      <c r="M809" s="109"/>
      <c r="N809" s="25"/>
      <c r="O809" s="97">
        <f t="shared" si="68"/>
        <v>-416250</v>
      </c>
    </row>
    <row r="810" spans="1:15" ht="15.95" customHeight="1" x14ac:dyDescent="0.25">
      <c r="A810" s="121"/>
      <c r="B810" s="23"/>
      <c r="C810" s="59" t="s">
        <v>9</v>
      </c>
      <c r="D810" s="129" t="s">
        <v>49</v>
      </c>
      <c r="E810" s="36"/>
      <c r="F810" s="36"/>
      <c r="G810" s="89"/>
      <c r="H810" s="24"/>
      <c r="I810" s="24"/>
      <c r="J810" s="24"/>
      <c r="K810" s="24"/>
      <c r="L810" s="24"/>
      <c r="M810" s="24"/>
      <c r="N810" s="25"/>
      <c r="O810" s="97">
        <f t="shared" si="68"/>
        <v>-407835.61643835617</v>
      </c>
    </row>
    <row r="811" spans="1:15" ht="15.95" customHeight="1" x14ac:dyDescent="0.25">
      <c r="A811" s="121"/>
      <c r="B811" s="23"/>
      <c r="C811" s="59" t="s">
        <v>51</v>
      </c>
      <c r="D811" s="138" t="s">
        <v>235</v>
      </c>
      <c r="E811" s="36"/>
      <c r="F811" s="36"/>
      <c r="G811" s="89"/>
      <c r="H811" s="680" t="s">
        <v>43</v>
      </c>
      <c r="I811" s="680"/>
      <c r="J811" s="92">
        <v>0</v>
      </c>
      <c r="K811" s="92"/>
      <c r="L811" s="24"/>
      <c r="M811" s="33"/>
      <c r="N811" s="25"/>
      <c r="O811" s="97">
        <f t="shared" si="68"/>
        <v>-399328.76712328766</v>
      </c>
    </row>
    <row r="812" spans="1:15" ht="15.95" customHeight="1" x14ac:dyDescent="0.25">
      <c r="A812" s="121"/>
      <c r="B812" s="23"/>
      <c r="C812" s="59" t="s">
        <v>52</v>
      </c>
      <c r="D812" s="138" t="s">
        <v>49</v>
      </c>
      <c r="E812" s="36"/>
      <c r="F812" s="36"/>
      <c r="G812" s="89"/>
      <c r="H812" s="657"/>
      <c r="I812" s="657"/>
      <c r="J812" s="392"/>
      <c r="K812" s="24"/>
      <c r="L812" s="33"/>
      <c r="M812" s="33"/>
      <c r="N812" s="25"/>
      <c r="O812" s="97">
        <f t="shared" si="68"/>
        <v>-390636.98630136985</v>
      </c>
    </row>
    <row r="813" spans="1:15" ht="15.95" customHeight="1" x14ac:dyDescent="0.25">
      <c r="A813" s="121"/>
      <c r="B813" s="23"/>
      <c r="C813" s="59" t="s">
        <v>10</v>
      </c>
      <c r="D813" s="139">
        <v>43168</v>
      </c>
      <c r="E813" s="36"/>
      <c r="F813" s="24"/>
      <c r="G813" s="89"/>
      <c r="H813" s="24"/>
      <c r="I813" s="24"/>
      <c r="J813" s="24"/>
      <c r="K813" s="24"/>
      <c r="L813" s="24"/>
      <c r="M813" s="24"/>
      <c r="N813" s="25"/>
      <c r="O813" s="97">
        <f t="shared" si="68"/>
        <v>-382222.60273972602</v>
      </c>
    </row>
    <row r="814" spans="1:15" ht="15.95" customHeight="1" x14ac:dyDescent="0.25">
      <c r="A814" s="121"/>
      <c r="B814" s="23"/>
      <c r="C814" s="59" t="s">
        <v>11</v>
      </c>
      <c r="D814" s="139">
        <v>43172</v>
      </c>
      <c r="E814" s="41"/>
      <c r="F814" s="24"/>
      <c r="G814" s="90"/>
      <c r="H814" s="638" t="s">
        <v>44</v>
      </c>
      <c r="I814" s="639"/>
      <c r="J814" s="639"/>
      <c r="K814" s="639"/>
      <c r="L814" s="639"/>
      <c r="M814" s="640"/>
      <c r="N814" s="25"/>
      <c r="O814" s="97">
        <f t="shared" si="68"/>
        <v>-373808.21917808219</v>
      </c>
    </row>
    <row r="815" spans="1:15" ht="15.95" customHeight="1" x14ac:dyDescent="0.25">
      <c r="A815" s="121"/>
      <c r="B815" s="23"/>
      <c r="C815" s="59" t="s">
        <v>12</v>
      </c>
      <c r="D815" s="139">
        <v>44268</v>
      </c>
      <c r="E815" s="36"/>
      <c r="F815" s="24"/>
      <c r="G815" s="90"/>
      <c r="H815" s="23"/>
      <c r="I815" s="24"/>
      <c r="J815" s="24"/>
      <c r="K815" s="24"/>
      <c r="L815" s="24"/>
      <c r="M815" s="25"/>
      <c r="N815" s="25"/>
      <c r="O815" s="97">
        <f t="shared" si="68"/>
        <v>-365393.83561643836</v>
      </c>
    </row>
    <row r="816" spans="1:15" ht="15.95" customHeight="1" x14ac:dyDescent="0.25">
      <c r="A816" s="121"/>
      <c r="B816" s="23"/>
      <c r="C816" s="59" t="s">
        <v>27</v>
      </c>
      <c r="D816" s="140">
        <v>600000</v>
      </c>
      <c r="E816" s="43"/>
      <c r="F816" s="24"/>
      <c r="G816" s="90"/>
      <c r="H816" s="23"/>
      <c r="I816" s="24"/>
      <c r="J816" s="24"/>
      <c r="K816" s="24"/>
      <c r="L816" s="24"/>
      <c r="M816" s="25"/>
      <c r="N816" s="25"/>
      <c r="O816" s="97">
        <f t="shared" si="68"/>
        <v>-356979.45205479453</v>
      </c>
    </row>
    <row r="817" spans="1:15" ht="15.95" customHeight="1" x14ac:dyDescent="0.25">
      <c r="A817" s="121"/>
      <c r="B817" s="23"/>
      <c r="C817" s="59" t="s">
        <v>26</v>
      </c>
      <c r="D817" s="140">
        <v>6</v>
      </c>
      <c r="E817" s="43"/>
      <c r="F817" s="24"/>
      <c r="G817" s="90"/>
      <c r="H817" s="96"/>
      <c r="I817" s="35"/>
      <c r="J817" s="24"/>
      <c r="K817" s="24"/>
      <c r="L817" s="24"/>
      <c r="M817" s="25"/>
      <c r="N817" s="25"/>
      <c r="O817" s="97">
        <f t="shared" si="68"/>
        <v>-348565.0684931507</v>
      </c>
    </row>
    <row r="818" spans="1:15" ht="15.95" customHeight="1" x14ac:dyDescent="0.25">
      <c r="A818" s="121"/>
      <c r="B818" s="23"/>
      <c r="C818" s="59" t="s">
        <v>19</v>
      </c>
      <c r="D818" s="141" t="s">
        <v>50</v>
      </c>
      <c r="E818" s="43"/>
      <c r="F818" s="24"/>
      <c r="G818" s="90"/>
      <c r="H818" s="23"/>
      <c r="I818" s="24"/>
      <c r="J818" s="24"/>
      <c r="K818" s="24"/>
      <c r="L818" s="24"/>
      <c r="M818" s="25"/>
      <c r="N818" s="25"/>
      <c r="O818" s="97">
        <f t="shared" si="68"/>
        <v>-340150.68493150687</v>
      </c>
    </row>
    <row r="819" spans="1:15" ht="15.95" customHeight="1" x14ac:dyDescent="0.25">
      <c r="A819" s="121"/>
      <c r="B819" s="23"/>
      <c r="C819" s="59" t="s">
        <v>14</v>
      </c>
      <c r="D819" s="142">
        <v>6.5000000000000002E-2</v>
      </c>
      <c r="E819" s="44"/>
      <c r="F819" s="24"/>
      <c r="G819" s="90"/>
      <c r="H819" s="23"/>
      <c r="I819" s="24"/>
      <c r="J819" s="24"/>
      <c r="K819" s="24"/>
      <c r="L819" s="24"/>
      <c r="M819" s="25"/>
      <c r="N819" s="25"/>
      <c r="O819" s="97">
        <f t="shared" si="68"/>
        <v>-331736.30136986304</v>
      </c>
    </row>
    <row r="820" spans="1:15" ht="15.95" customHeight="1" x14ac:dyDescent="0.25">
      <c r="A820" s="121"/>
      <c r="B820" s="23"/>
      <c r="C820" s="59" t="s">
        <v>64</v>
      </c>
      <c r="D820" s="143">
        <v>0.25</v>
      </c>
      <c r="E820" s="24"/>
      <c r="F820" s="24"/>
      <c r="G820" s="90"/>
      <c r="H820" s="23"/>
      <c r="I820" s="24"/>
      <c r="J820" s="24"/>
      <c r="K820" s="24"/>
      <c r="L820" s="24"/>
      <c r="M820" s="25"/>
      <c r="N820" s="25"/>
      <c r="O820" s="97">
        <f t="shared" si="68"/>
        <v>-323229.45205479453</v>
      </c>
    </row>
    <row r="821" spans="1:15" ht="15.95" customHeight="1" x14ac:dyDescent="0.25">
      <c r="A821" s="121"/>
      <c r="B821" s="23"/>
      <c r="C821" s="63"/>
      <c r="D821" s="145"/>
      <c r="E821" s="24"/>
      <c r="F821" s="24"/>
      <c r="G821" s="90"/>
      <c r="H821" s="23"/>
      <c r="I821" s="24"/>
      <c r="J821" s="24"/>
      <c r="K821" s="24"/>
      <c r="L821" s="24"/>
      <c r="M821" s="25"/>
      <c r="N821" s="25"/>
      <c r="O821" s="97">
        <f t="shared" si="68"/>
        <v>135092.46575342462</v>
      </c>
    </row>
    <row r="822" spans="1:15" ht="15.95" customHeight="1" x14ac:dyDescent="0.25">
      <c r="A822" s="121"/>
      <c r="B822" s="23"/>
      <c r="C822" s="24"/>
      <c r="D822" s="24"/>
      <c r="E822" s="24"/>
      <c r="F822" s="24"/>
      <c r="G822" s="90"/>
      <c r="H822" s="23"/>
      <c r="I822" s="24"/>
      <c r="J822" s="24"/>
      <c r="K822" s="24"/>
      <c r="L822" s="24"/>
      <c r="M822" s="25"/>
      <c r="N822" s="25"/>
    </row>
    <row r="823" spans="1:15" ht="15.95" customHeight="1" x14ac:dyDescent="0.25">
      <c r="A823" s="121"/>
      <c r="B823" s="23"/>
      <c r="C823" s="24"/>
      <c r="D823" s="24"/>
      <c r="E823" s="24"/>
      <c r="F823" s="24"/>
      <c r="G823" s="90"/>
      <c r="H823" s="23"/>
      <c r="I823" s="24"/>
      <c r="J823" s="24"/>
      <c r="K823" s="24"/>
      <c r="L823" s="24"/>
      <c r="M823" s="25"/>
      <c r="N823" s="25"/>
    </row>
    <row r="824" spans="1:15" ht="15.95" customHeight="1" x14ac:dyDescent="0.25">
      <c r="A824" s="121"/>
      <c r="B824" s="23"/>
      <c r="C824" s="24"/>
      <c r="D824" s="24"/>
      <c r="E824" s="24"/>
      <c r="F824" s="24"/>
      <c r="G824" s="90"/>
      <c r="H824" s="23"/>
      <c r="I824" s="24"/>
      <c r="J824" s="24"/>
      <c r="K824" s="24"/>
      <c r="L824" s="24"/>
      <c r="M824" s="25"/>
      <c r="N824" s="25"/>
    </row>
    <row r="825" spans="1:15" ht="15.95" customHeight="1" x14ac:dyDescent="0.25">
      <c r="A825" s="121"/>
      <c r="B825" s="23"/>
      <c r="C825" s="24"/>
      <c r="D825" s="24"/>
      <c r="E825" s="24"/>
      <c r="F825" s="24"/>
      <c r="G825" s="90"/>
      <c r="H825" s="23"/>
      <c r="I825" s="24"/>
      <c r="J825" s="24"/>
      <c r="K825" s="24"/>
      <c r="L825" s="24"/>
      <c r="M825" s="25"/>
      <c r="N825" s="25"/>
    </row>
    <row r="826" spans="1:15" ht="15.95" customHeight="1" x14ac:dyDescent="0.25">
      <c r="A826" s="121"/>
      <c r="B826" s="23"/>
      <c r="C826" s="24"/>
      <c r="D826" s="24"/>
      <c r="E826" s="24"/>
      <c r="F826" s="24"/>
      <c r="G826" s="90"/>
      <c r="H826" s="26"/>
      <c r="I826" s="27"/>
      <c r="J826" s="27"/>
      <c r="K826" s="27"/>
      <c r="L826" s="27"/>
      <c r="M826" s="28"/>
      <c r="N826" s="25"/>
    </row>
    <row r="827" spans="1:15" ht="15.95" customHeight="1" x14ac:dyDescent="0.25">
      <c r="A827" s="121"/>
      <c r="B827" s="26"/>
      <c r="C827" s="85"/>
      <c r="D827" s="27"/>
      <c r="E827" s="27"/>
      <c r="F827" s="27"/>
      <c r="G827" s="91"/>
      <c r="H827" s="27"/>
      <c r="I827" s="27"/>
      <c r="J827" s="27"/>
      <c r="K827" s="27"/>
      <c r="L827" s="27"/>
      <c r="M827" s="27"/>
      <c r="N827" s="28"/>
    </row>
    <row r="828" spans="1:15" ht="15.95" customHeight="1" x14ac:dyDescent="0.25">
      <c r="A828" s="121"/>
      <c r="B828" s="23"/>
      <c r="C828" s="24"/>
      <c r="D828" s="24"/>
      <c r="E828" s="24"/>
      <c r="F828" s="24"/>
      <c r="G828" s="24"/>
      <c r="H828" s="24"/>
      <c r="I828" s="24"/>
      <c r="J828" s="24"/>
      <c r="K828" s="24"/>
      <c r="L828" s="24"/>
      <c r="M828" s="24"/>
      <c r="N828" s="25"/>
    </row>
    <row r="829" spans="1:15" ht="15.95" customHeight="1" x14ac:dyDescent="0.25">
      <c r="A829" s="121"/>
      <c r="B829" s="683" t="s">
        <v>194</v>
      </c>
      <c r="C829" s="684"/>
      <c r="D829" s="684"/>
      <c r="E829" s="684"/>
      <c r="F829" s="684"/>
      <c r="G829" s="684"/>
      <c r="H829" s="684"/>
      <c r="I829" s="684"/>
      <c r="J829" s="684"/>
      <c r="K829" s="684"/>
      <c r="L829" s="684"/>
      <c r="M829" s="684"/>
      <c r="N829" s="685"/>
    </row>
    <row r="830" spans="1:15" ht="15.95" customHeight="1" x14ac:dyDescent="0.25">
      <c r="A830" s="121"/>
      <c r="B830" s="23"/>
      <c r="C830" s="24"/>
      <c r="D830" s="24"/>
      <c r="E830" s="24"/>
      <c r="F830" s="31"/>
      <c r="G830" s="87"/>
      <c r="H830" s="31"/>
      <c r="I830" s="31"/>
      <c r="J830" s="24"/>
      <c r="K830" s="24"/>
      <c r="L830" s="24"/>
      <c r="M830" s="24"/>
      <c r="N830" s="25"/>
    </row>
    <row r="831" spans="1:15" ht="15.95" customHeight="1" x14ac:dyDescent="0.25">
      <c r="A831" s="121"/>
      <c r="B831" s="23"/>
      <c r="C831" s="638" t="s">
        <v>37</v>
      </c>
      <c r="D831" s="639"/>
      <c r="E831" s="640"/>
      <c r="F831" s="31"/>
      <c r="G831" s="87"/>
      <c r="H831" s="641" t="s">
        <v>28</v>
      </c>
      <c r="I831" s="642"/>
      <c r="J831" s="39">
        <f>+$D$851-SUMIF($H$837:$H$844,"&lt;"&amp;$M$4,$K$837:$K$844)</f>
        <v>0</v>
      </c>
      <c r="K831" s="24"/>
      <c r="L831" s="24"/>
      <c r="M831" s="24"/>
      <c r="N831" s="25"/>
    </row>
    <row r="832" spans="1:15" ht="15.95" customHeight="1" x14ac:dyDescent="0.25">
      <c r="A832" s="121"/>
      <c r="B832" s="23"/>
      <c r="C832" s="58"/>
      <c r="D832" s="664"/>
      <c r="E832" s="665"/>
      <c r="F832" s="31"/>
      <c r="G832" s="87"/>
      <c r="H832" s="645" t="s">
        <v>29</v>
      </c>
      <c r="I832" s="646"/>
      <c r="J832" s="40">
        <f>+$D$850</f>
        <v>44400</v>
      </c>
      <c r="K832" s="24"/>
      <c r="L832" s="24"/>
      <c r="M832" s="24"/>
      <c r="N832" s="25"/>
    </row>
    <row r="833" spans="1:15" ht="15.95" customHeight="1" x14ac:dyDescent="0.25">
      <c r="A833" s="121"/>
      <c r="B833" s="23"/>
      <c r="C833" s="59" t="s">
        <v>25</v>
      </c>
      <c r="D833" s="681"/>
      <c r="E833" s="682"/>
      <c r="F833" s="31"/>
      <c r="G833" s="87"/>
      <c r="H833" s="649" t="s">
        <v>30</v>
      </c>
      <c r="I833" s="650"/>
      <c r="J833" s="42" t="str">
        <f>+IF(H844&gt;=M4,MIN(IF($H$837:$H$844&gt;$M$4,$H$837:$H$844," ")),"vencida")</f>
        <v>vencida</v>
      </c>
      <c r="K833" s="24"/>
      <c r="L833" s="24"/>
      <c r="M833" s="24"/>
      <c r="N833" s="25"/>
    </row>
    <row r="834" spans="1:15" ht="15.95" customHeight="1" x14ac:dyDescent="0.25">
      <c r="A834" s="121"/>
      <c r="B834" s="23"/>
      <c r="C834" s="59" t="s">
        <v>6</v>
      </c>
      <c r="D834" s="681" t="s">
        <v>238</v>
      </c>
      <c r="E834" s="682"/>
      <c r="F834" s="31"/>
      <c r="G834" s="87"/>
      <c r="H834" s="24"/>
      <c r="I834" s="24"/>
      <c r="J834" s="24"/>
      <c r="K834" s="24"/>
      <c r="L834" s="24"/>
      <c r="M834" s="24"/>
      <c r="N834" s="25"/>
    </row>
    <row r="835" spans="1:15" ht="15.95" customHeight="1" x14ac:dyDescent="0.25">
      <c r="A835" s="121"/>
      <c r="B835" s="23"/>
      <c r="C835" s="59" t="s">
        <v>8</v>
      </c>
      <c r="D835" s="681" t="s">
        <v>17</v>
      </c>
      <c r="E835" s="682"/>
      <c r="F835" s="31"/>
      <c r="G835" s="87"/>
      <c r="H835" s="651" t="s">
        <v>41</v>
      </c>
      <c r="I835" s="652"/>
      <c r="J835" s="652"/>
      <c r="K835" s="652"/>
      <c r="L835" s="653"/>
      <c r="M835" s="24"/>
      <c r="N835" s="25"/>
    </row>
    <row r="836" spans="1:15" ht="15.95" customHeight="1" x14ac:dyDescent="0.25">
      <c r="A836" s="121"/>
      <c r="B836" s="23"/>
      <c r="C836" s="59" t="s">
        <v>33</v>
      </c>
      <c r="D836" s="132" t="s">
        <v>309</v>
      </c>
      <c r="E836" s="274">
        <v>1</v>
      </c>
      <c r="F836" s="281">
        <f>+E836*J831</f>
        <v>0</v>
      </c>
      <c r="G836" s="87"/>
      <c r="H836" s="126" t="s">
        <v>0</v>
      </c>
      <c r="I836" s="127" t="s">
        <v>2</v>
      </c>
      <c r="J836" s="127" t="s">
        <v>3</v>
      </c>
      <c r="K836" s="127" t="s">
        <v>4</v>
      </c>
      <c r="L836" s="128" t="s">
        <v>5</v>
      </c>
      <c r="M836" s="127" t="s">
        <v>44</v>
      </c>
      <c r="N836" s="25"/>
    </row>
    <row r="837" spans="1:15" ht="15.95" customHeight="1" x14ac:dyDescent="0.25">
      <c r="A837" s="121"/>
      <c r="B837" s="23"/>
      <c r="C837" s="59" t="s">
        <v>34</v>
      </c>
      <c r="D837" s="681" t="s">
        <v>48</v>
      </c>
      <c r="E837" s="682"/>
      <c r="F837" s="31"/>
      <c r="G837" s="87"/>
      <c r="H837" s="45"/>
      <c r="I837" s="46"/>
      <c r="J837" s="46"/>
      <c r="K837" s="46"/>
      <c r="L837" s="47"/>
      <c r="M837" s="23"/>
      <c r="N837" s="25"/>
    </row>
    <row r="838" spans="1:15" ht="15.95" customHeight="1" x14ac:dyDescent="0.25">
      <c r="A838" s="121"/>
      <c r="B838" s="23"/>
      <c r="C838" s="79" t="s">
        <v>38</v>
      </c>
      <c r="D838" s="130"/>
      <c r="E838" s="131"/>
      <c r="F838" s="31"/>
      <c r="G838" s="87"/>
      <c r="H838" s="48">
        <f>+$D$849</f>
        <v>43304</v>
      </c>
      <c r="I838" s="136"/>
      <c r="J838" s="49"/>
      <c r="K838" s="49"/>
      <c r="L838" s="50">
        <f>+D851</f>
        <v>300000</v>
      </c>
      <c r="M838" s="93">
        <f>-L838</f>
        <v>-300000</v>
      </c>
      <c r="N838" s="25"/>
    </row>
    <row r="839" spans="1:15" ht="15.95" customHeight="1" x14ac:dyDescent="0.25">
      <c r="A839" s="121"/>
      <c r="B839" s="23"/>
      <c r="C839" s="59"/>
      <c r="D839" s="132"/>
      <c r="E839" s="133"/>
      <c r="F839" s="31"/>
      <c r="G839" s="87"/>
      <c r="H839" s="51">
        <f>IF(DAY(H838)=DAY($H$838),IF(WEEKDAY(EDATE(H838,$D$852),3)&lt;5,EDATE(H838,$D$852),WORKDAY(EDATE(H838,$D$852),1)),IF(WEEKDAY(EDATE($H$838,$D$852*COUNT($H$838:H838)),3)&lt;5,EDATE($H$838,$D$852*COUNT($H$838:H838)),WORKDAY(EDATE($H$838,$D$852*COUNT($H$838:H838)),1)))</f>
        <v>43488</v>
      </c>
      <c r="I839" s="137" t="s">
        <v>13</v>
      </c>
      <c r="J839" s="52">
        <f t="shared" ref="J839:J844" si="69">+(($D$854/365)*(H839-H838))*L838</f>
        <v>13459.726027397261</v>
      </c>
      <c r="K839" s="52">
        <f>+IF(OR(I839="A + C",I839="A"),$L$838*$D$855,0)</f>
        <v>45000</v>
      </c>
      <c r="L839" s="53">
        <f t="shared" ref="L839:L844" si="70">+L838-K839</f>
        <v>255000</v>
      </c>
      <c r="M839" s="94">
        <f t="shared" ref="M839:M844" si="71">+J839+K839</f>
        <v>58459.726027397264</v>
      </c>
      <c r="N839" s="25"/>
    </row>
    <row r="840" spans="1:15" ht="15.95" customHeight="1" x14ac:dyDescent="0.25">
      <c r="A840" s="121"/>
      <c r="B840" s="23"/>
      <c r="C840" s="60"/>
      <c r="D840" s="134"/>
      <c r="E840" s="135"/>
      <c r="F840" s="34"/>
      <c r="G840" s="88"/>
      <c r="H840" s="51">
        <f>IF(DAY(H839)=DAY($H$838),IF(WEEKDAY(EDATE(H839,$D$852),3)&lt;5,EDATE(H839,$D$852),WORKDAY(EDATE(H839,$D$852),1)),IF(WEEKDAY(EDATE($H$838,$D$852*COUNT($H$838:H839)),3)&lt;5,EDATE($H$838,$D$852*COUNT($H$838:H839)),WORKDAY(EDATE($H$838,$D$852*COUNT($H$838:H839)),1)))</f>
        <v>43669</v>
      </c>
      <c r="I840" s="137" t="s">
        <v>13</v>
      </c>
      <c r="J840" s="52">
        <f t="shared" si="69"/>
        <v>11254.232876712327</v>
      </c>
      <c r="K840" s="52">
        <f>+IF(OR(I840="A + C",I840="A"),$D$851*$D$855,0)</f>
        <v>45000</v>
      </c>
      <c r="L840" s="53">
        <f t="shared" si="70"/>
        <v>210000</v>
      </c>
      <c r="M840" s="94">
        <f t="shared" si="71"/>
        <v>56254.232876712325</v>
      </c>
      <c r="N840" s="25"/>
    </row>
    <row r="841" spans="1:15" ht="15.95" customHeight="1" x14ac:dyDescent="0.25">
      <c r="A841" s="121"/>
      <c r="B841" s="23"/>
      <c r="C841" s="60"/>
      <c r="D841" s="55" t="str">
        <f>B829</f>
        <v>ERA I</v>
      </c>
      <c r="E841" s="64"/>
      <c r="F841" s="34"/>
      <c r="G841" s="88">
        <f>J831</f>
        <v>0</v>
      </c>
      <c r="H841" s="51">
        <f>IF(DAY(H840)=DAY($H$838),IF(WEEKDAY(EDATE(H840,$D$852),3)&lt;5,EDATE(H840,$D$852),WORKDAY(EDATE(H840,$D$852),1)),IF(WEEKDAY(EDATE($H$838,$D$852*COUNT($H$838:H840)),3)&lt;5,EDATE($H$838,$D$852*COUNT($H$838:H840)),WORKDAY(EDATE($H$838,$D$852*COUNT($H$838:H840)),1)))</f>
        <v>43853</v>
      </c>
      <c r="I841" s="137" t="s">
        <v>13</v>
      </c>
      <c r="J841" s="52">
        <f t="shared" si="69"/>
        <v>9421.8082191780813</v>
      </c>
      <c r="K841" s="52">
        <f>+IF(OR(I841="A + C",I841="A"),$D$851*$D$855,0)</f>
        <v>45000</v>
      </c>
      <c r="L841" s="53">
        <f t="shared" si="70"/>
        <v>165000</v>
      </c>
      <c r="M841" s="94">
        <f t="shared" si="71"/>
        <v>54421.808219178085</v>
      </c>
      <c r="N841" s="25"/>
    </row>
    <row r="842" spans="1:15" ht="20.100000000000001" customHeight="1" x14ac:dyDescent="0.25">
      <c r="A842" s="121"/>
      <c r="B842" s="32"/>
      <c r="D842" s="644"/>
      <c r="E842" s="660"/>
      <c r="F842" s="34"/>
      <c r="G842" s="88"/>
      <c r="H842" s="51">
        <f>IF(DAY(H841)=DAY($H$838),IF(WEEKDAY(EDATE(H841,$D$852),3)&lt;5,EDATE(H841,$D$852),WORKDAY(EDATE(H841,$D$852),1)),IF(WEEKDAY(EDATE($H$838,$D$852*COUNT($H$838:H841)),3)&lt;5,EDATE($H$838,$D$852*COUNT($H$838:H841)),WORKDAY(EDATE($H$838,$D$852*COUNT($H$838:H841)),1)))</f>
        <v>44035</v>
      </c>
      <c r="I842" s="137" t="s">
        <v>13</v>
      </c>
      <c r="J842" s="52">
        <f t="shared" si="69"/>
        <v>7322.3835616438355</v>
      </c>
      <c r="K842" s="52">
        <f>+IF(OR(I842="A + C",I842="A"),$D$851*$D$855,0)</f>
        <v>45000</v>
      </c>
      <c r="L842" s="53">
        <f t="shared" si="70"/>
        <v>120000</v>
      </c>
      <c r="M842" s="94">
        <f t="shared" si="71"/>
        <v>52322.383561643837</v>
      </c>
      <c r="N842" s="25"/>
    </row>
    <row r="843" spans="1:15" ht="15.95" customHeight="1" x14ac:dyDescent="0.25">
      <c r="A843" s="121"/>
      <c r="B843" s="23"/>
      <c r="C843" s="638" t="s">
        <v>36</v>
      </c>
      <c r="D843" s="640"/>
      <c r="E843" s="36"/>
      <c r="F843" s="34"/>
      <c r="G843" s="88"/>
      <c r="H843" s="51">
        <f>IF(DAY(H842)=DAY($H$838),IF(WEEKDAY(EDATE(H842,$D$852),3)&lt;5,EDATE(H842,$D$852),WORKDAY(EDATE(H842,$D$852),1)),IF(WEEKDAY(EDATE($H$838,$D$852*COUNT($H$838:H842)),3)&lt;5,EDATE($H$838,$D$852*COUNT($H$838:H842)),WORKDAY(EDATE($H$838,$D$852*COUNT($H$838:H842)),1)))</f>
        <v>44221</v>
      </c>
      <c r="I843" s="137" t="s">
        <v>13</v>
      </c>
      <c r="J843" s="52">
        <f t="shared" si="69"/>
        <v>5442.4109589041091</v>
      </c>
      <c r="K843" s="52">
        <f>+IF(OR(I843="A + C",I843="A"),$D$851*$D$855,0)</f>
        <v>45000</v>
      </c>
      <c r="L843" s="53">
        <f t="shared" si="70"/>
        <v>75000</v>
      </c>
      <c r="M843" s="94">
        <f t="shared" si="71"/>
        <v>50442.410958904111</v>
      </c>
      <c r="N843" s="25"/>
    </row>
    <row r="844" spans="1:15" ht="15.95" customHeight="1" x14ac:dyDescent="0.25">
      <c r="A844" s="121"/>
      <c r="B844" s="23"/>
      <c r="C844" s="59"/>
      <c r="D844" s="62"/>
      <c r="E844" s="36"/>
      <c r="F844" s="36"/>
      <c r="G844" s="89"/>
      <c r="H844" s="51">
        <f>IF(DAY(H843)=DAY($H$838),IF(WEEKDAY(EDATE(H843,$D$852),3)&lt;5,EDATE(H843,$D$852),WORKDAY(EDATE(H843,$D$852),1)),IF(WEEKDAY(EDATE($H$838,$D$852*COUNT($H$838:H843)),3)&lt;5,EDATE($H$838,$D$852*COUNT($H$838:H843)),WORKDAY(EDATE($H$838,$D$852*COUNT($H$838:H843)),1)))</f>
        <v>44400</v>
      </c>
      <c r="I844" s="137" t="s">
        <v>13</v>
      </c>
      <c r="J844" s="52">
        <f t="shared" si="69"/>
        <v>3273.4931506849312</v>
      </c>
      <c r="K844" s="52">
        <f>+IF(OR(I844="A + C",I844="A"),$D$851*$D$856,0)</f>
        <v>75000</v>
      </c>
      <c r="L844" s="53">
        <f t="shared" si="70"/>
        <v>0</v>
      </c>
      <c r="M844" s="94">
        <f t="shared" si="71"/>
        <v>78273.493150684924</v>
      </c>
      <c r="N844" s="25"/>
      <c r="O844" s="194" t="str">
        <f>+D962</f>
        <v>ON Pyme</v>
      </c>
    </row>
    <row r="845" spans="1:15" ht="15.95" customHeight="1" x14ac:dyDescent="0.25">
      <c r="A845" s="121"/>
      <c r="B845" s="23"/>
      <c r="C845" s="59" t="s">
        <v>9</v>
      </c>
      <c r="D845" s="129" t="s">
        <v>49</v>
      </c>
      <c r="E845" s="36"/>
      <c r="F845" s="36"/>
      <c r="G845" s="89"/>
      <c r="H845" s="54"/>
      <c r="I845" s="144"/>
      <c r="J845" s="55"/>
      <c r="K845" s="56"/>
      <c r="L845" s="57"/>
      <c r="M845" s="109"/>
      <c r="N845" s="25"/>
    </row>
    <row r="846" spans="1:15" ht="15.95" customHeight="1" x14ac:dyDescent="0.25">
      <c r="A846" s="121"/>
      <c r="B846" s="23"/>
      <c r="C846" s="59" t="s">
        <v>51</v>
      </c>
      <c r="D846" s="138" t="s">
        <v>49</v>
      </c>
      <c r="E846" s="36"/>
      <c r="F846" s="36"/>
      <c r="G846" s="89"/>
      <c r="H846" s="24"/>
      <c r="I846" s="24"/>
      <c r="J846" s="24"/>
      <c r="K846" s="24"/>
      <c r="L846" s="24"/>
      <c r="M846" s="24"/>
      <c r="N846" s="25"/>
      <c r="O846" s="194" t="str">
        <f>+IF(J960="vencida",IF(D962='Reporte - Oscuro'!$C$40,'Reporte - Oscuro'!$C$40&amp;" vencida",IF(D962='Reporte - Oscuro'!$C$41,'Reporte - Oscuro'!$C$41&amp;" vencida",IF(D962='Reporte - Oscuro'!$C$42,'Reporte - Oscuro'!$C$42&amp;" vencida",'Reporte - Oscuro'!$C$43&amp;" vencida"))),D962&amp;" vigente")</f>
        <v>ON Pyme vencida</v>
      </c>
    </row>
    <row r="847" spans="1:15" ht="15.95" customHeight="1" x14ac:dyDescent="0.25">
      <c r="A847" s="121"/>
      <c r="B847" s="23"/>
      <c r="C847" s="59" t="s">
        <v>52</v>
      </c>
      <c r="D847" s="138" t="s">
        <v>49</v>
      </c>
      <c r="E847" s="36"/>
      <c r="F847" s="36"/>
      <c r="G847" s="89"/>
      <c r="H847" s="680" t="s">
        <v>43</v>
      </c>
      <c r="I847" s="680"/>
      <c r="J847" s="92">
        <v>0</v>
      </c>
      <c r="K847" s="92"/>
      <c r="L847" s="24"/>
      <c r="M847" s="33"/>
      <c r="N847" s="25"/>
    </row>
    <row r="848" spans="1:15" ht="15.95" customHeight="1" x14ac:dyDescent="0.25">
      <c r="A848" s="121"/>
      <c r="B848" s="23"/>
      <c r="C848" s="59" t="s">
        <v>10</v>
      </c>
      <c r="D848" s="139">
        <v>43299</v>
      </c>
      <c r="E848" s="36"/>
      <c r="F848" s="36"/>
      <c r="G848" s="89"/>
      <c r="H848" s="657"/>
      <c r="I848" s="657"/>
      <c r="J848" s="392"/>
      <c r="K848" s="24"/>
      <c r="L848" s="33"/>
      <c r="M848" s="33"/>
      <c r="N848" s="25"/>
    </row>
    <row r="849" spans="1:18" ht="15.95" customHeight="1" x14ac:dyDescent="0.25">
      <c r="A849" s="121"/>
      <c r="B849" s="23"/>
      <c r="C849" s="59" t="s">
        <v>11</v>
      </c>
      <c r="D849" s="139">
        <v>43304</v>
      </c>
      <c r="E849" s="41"/>
      <c r="F849" s="24"/>
      <c r="G849" s="89"/>
      <c r="H849" s="24"/>
      <c r="I849" s="24"/>
      <c r="J849" s="24"/>
      <c r="K849" s="24"/>
      <c r="L849" s="24"/>
      <c r="M849" s="24"/>
      <c r="N849" s="25"/>
    </row>
    <row r="850" spans="1:18" ht="15.95" customHeight="1" x14ac:dyDescent="0.25">
      <c r="A850" s="121"/>
      <c r="B850" s="23"/>
      <c r="C850" s="59" t="s">
        <v>12</v>
      </c>
      <c r="D850" s="139">
        <v>44400</v>
      </c>
      <c r="E850" s="36"/>
      <c r="F850" s="24"/>
      <c r="G850" s="90"/>
      <c r="H850" s="638" t="s">
        <v>44</v>
      </c>
      <c r="I850" s="639"/>
      <c r="J850" s="639"/>
      <c r="K850" s="639"/>
      <c r="L850" s="639"/>
      <c r="M850" s="640"/>
      <c r="N850" s="25"/>
    </row>
    <row r="851" spans="1:18" ht="15.95" customHeight="1" x14ac:dyDescent="0.25">
      <c r="A851" s="121"/>
      <c r="B851" s="23"/>
      <c r="C851" s="59" t="s">
        <v>27</v>
      </c>
      <c r="D851" s="140">
        <v>300000</v>
      </c>
      <c r="E851" s="43"/>
      <c r="F851" s="24"/>
      <c r="G851" s="90"/>
      <c r="H851" s="23"/>
      <c r="I851" s="24"/>
      <c r="J851" s="24"/>
      <c r="K851" s="24"/>
      <c r="L851" s="24"/>
      <c r="M851" s="25"/>
      <c r="N851" s="25"/>
      <c r="O851" s="97">
        <f>+M965</f>
        <v>-1168335</v>
      </c>
    </row>
    <row r="852" spans="1:18" ht="15.95" customHeight="1" x14ac:dyDescent="0.25">
      <c r="A852" s="121"/>
      <c r="B852" s="23"/>
      <c r="C852" s="59" t="s">
        <v>26</v>
      </c>
      <c r="D852" s="140">
        <v>6</v>
      </c>
      <c r="E852" s="43"/>
      <c r="F852" s="24"/>
      <c r="G852" s="90"/>
      <c r="H852" s="23"/>
      <c r="I852" s="24"/>
      <c r="J852" s="24"/>
      <c r="K852" s="24"/>
      <c r="L852" s="24"/>
      <c r="M852" s="25"/>
      <c r="N852" s="25"/>
      <c r="O852" s="97">
        <f t="shared" ref="O852:O874" si="72">+M966+O851</f>
        <v>-1030233.0016232877</v>
      </c>
    </row>
    <row r="853" spans="1:18" ht="15.95" customHeight="1" x14ac:dyDescent="0.25">
      <c r="A853" s="121"/>
      <c r="B853" s="23"/>
      <c r="C853" s="59" t="s">
        <v>19</v>
      </c>
      <c r="D853" s="141" t="s">
        <v>50</v>
      </c>
      <c r="E853" s="43"/>
      <c r="F853" s="24"/>
      <c r="G853" s="90"/>
      <c r="H853" s="96"/>
      <c r="I853" s="35"/>
      <c r="J853" s="24"/>
      <c r="K853" s="24"/>
      <c r="L853" s="24"/>
      <c r="M853" s="25"/>
      <c r="N853" s="25"/>
      <c r="O853" s="97">
        <f t="shared" si="72"/>
        <v>-895938.7510528767</v>
      </c>
    </row>
    <row r="854" spans="1:18" ht="15.95" customHeight="1" x14ac:dyDescent="0.25">
      <c r="A854" s="121"/>
      <c r="B854" s="23"/>
      <c r="C854" s="59" t="s">
        <v>14</v>
      </c>
      <c r="D854" s="142">
        <v>8.8999999999999996E-2</v>
      </c>
      <c r="E854" s="44"/>
      <c r="F854" s="24"/>
      <c r="G854" s="90"/>
      <c r="H854" s="23"/>
      <c r="I854" s="24"/>
      <c r="J854" s="24"/>
      <c r="K854" s="24"/>
      <c r="L854" s="24"/>
      <c r="M854" s="25"/>
      <c r="N854" s="25"/>
      <c r="O854" s="97">
        <f t="shared" si="72"/>
        <v>-764257.1792232329</v>
      </c>
    </row>
    <row r="855" spans="1:18" ht="15.95" customHeight="1" x14ac:dyDescent="0.25">
      <c r="A855" s="121"/>
      <c r="B855" s="23"/>
      <c r="C855" s="59" t="s">
        <v>42</v>
      </c>
      <c r="D855" s="143">
        <v>0.15</v>
      </c>
      <c r="E855" s="24"/>
      <c r="F855" s="24"/>
      <c r="G855" s="90"/>
      <c r="H855" s="23"/>
      <c r="I855" s="24"/>
      <c r="J855" s="24"/>
      <c r="K855" s="24"/>
      <c r="L855" s="24"/>
      <c r="M855" s="25"/>
      <c r="N855" s="25"/>
      <c r="O855" s="97">
        <f t="shared" si="72"/>
        <v>-636009.88491369865</v>
      </c>
    </row>
    <row r="856" spans="1:18" ht="15.95" customHeight="1" x14ac:dyDescent="0.25">
      <c r="A856" s="121"/>
      <c r="B856" s="23"/>
      <c r="C856" s="59" t="s">
        <v>55</v>
      </c>
      <c r="D856" s="143">
        <v>0.25</v>
      </c>
      <c r="E856" s="24"/>
      <c r="F856" s="24"/>
      <c r="G856" s="90"/>
      <c r="H856" s="23"/>
      <c r="I856" s="24"/>
      <c r="J856" s="24"/>
      <c r="K856" s="24"/>
      <c r="L856" s="24"/>
      <c r="M856" s="25"/>
      <c r="N856" s="25"/>
      <c r="O856" s="97">
        <f t="shared" si="72"/>
        <v>-511495.68020350684</v>
      </c>
    </row>
    <row r="857" spans="1:18" ht="15.95" customHeight="1" x14ac:dyDescent="0.25">
      <c r="A857" s="121"/>
      <c r="B857" s="23"/>
      <c r="C857" s="63"/>
      <c r="D857" s="145"/>
      <c r="E857" s="24"/>
      <c r="F857" s="24"/>
      <c r="G857" s="90"/>
      <c r="H857" s="23"/>
      <c r="I857" s="24"/>
      <c r="J857" s="24"/>
      <c r="K857" s="24"/>
      <c r="L857" s="24"/>
      <c r="M857" s="25"/>
      <c r="N857" s="25"/>
      <c r="O857" s="97">
        <f t="shared" si="72"/>
        <v>-390378.42390994518</v>
      </c>
      <c r="R857" s="395">
        <v>44125</v>
      </c>
    </row>
    <row r="858" spans="1:18" ht="15.95" customHeight="1" x14ac:dyDescent="0.25">
      <c r="A858" s="121"/>
      <c r="B858" s="23"/>
      <c r="C858" s="24"/>
      <c r="D858" s="24"/>
      <c r="E858" s="24"/>
      <c r="F858" s="24"/>
      <c r="G858" s="90"/>
      <c r="H858" s="23"/>
      <c r="I858" s="24"/>
      <c r="J858" s="24"/>
      <c r="K858" s="24"/>
      <c r="L858" s="24"/>
      <c r="M858" s="25"/>
      <c r="N858" s="25"/>
      <c r="O858" s="97">
        <f t="shared" si="72"/>
        <v>-382230.79633295885</v>
      </c>
    </row>
    <row r="859" spans="1:18" ht="15.95" customHeight="1" x14ac:dyDescent="0.25">
      <c r="A859" s="121"/>
      <c r="B859" s="23"/>
      <c r="C859" s="24"/>
      <c r="D859" s="24"/>
      <c r="E859" s="24"/>
      <c r="F859" s="24"/>
      <c r="G859" s="90"/>
      <c r="H859" s="23"/>
      <c r="I859" s="24"/>
      <c r="J859" s="24"/>
      <c r="K859" s="24"/>
      <c r="L859" s="24"/>
      <c r="M859" s="25"/>
      <c r="N859" s="25"/>
      <c r="O859" s="97">
        <f t="shared" si="72"/>
        <v>-373521.26340583555</v>
      </c>
    </row>
    <row r="860" spans="1:18" ht="15.95" customHeight="1" x14ac:dyDescent="0.25">
      <c r="A860" s="121"/>
      <c r="B860" s="23"/>
      <c r="C860" s="24"/>
      <c r="D860" s="24"/>
      <c r="E860" s="24"/>
      <c r="F860" s="24"/>
      <c r="G860" s="90"/>
      <c r="H860" s="23"/>
      <c r="I860" s="24"/>
      <c r="J860" s="24"/>
      <c r="K860" s="24"/>
      <c r="L860" s="24"/>
      <c r="M860" s="25"/>
      <c r="N860" s="25"/>
      <c r="O860" s="97">
        <f t="shared" si="72"/>
        <v>-365092.68315378076</v>
      </c>
    </row>
    <row r="861" spans="1:18" ht="15.95" customHeight="1" x14ac:dyDescent="0.25">
      <c r="A861" s="121"/>
      <c r="B861" s="23"/>
      <c r="C861" s="24"/>
      <c r="D861" s="24"/>
      <c r="E861" s="24"/>
      <c r="F861" s="24"/>
      <c r="G861" s="90"/>
      <c r="H861" s="23"/>
      <c r="I861" s="24"/>
      <c r="J861" s="24"/>
      <c r="K861" s="24"/>
      <c r="L861" s="24"/>
      <c r="M861" s="25"/>
      <c r="N861" s="25"/>
      <c r="O861" s="97">
        <f t="shared" si="72"/>
        <v>-356664.10290172597</v>
      </c>
    </row>
    <row r="862" spans="1:18" ht="15.95" customHeight="1" x14ac:dyDescent="0.25">
      <c r="A862" s="121"/>
      <c r="B862" s="23"/>
      <c r="C862" s="24"/>
      <c r="D862" s="24"/>
      <c r="E862" s="24"/>
      <c r="F862" s="24"/>
      <c r="G862" s="90"/>
      <c r="H862" s="26"/>
      <c r="I862" s="27"/>
      <c r="J862" s="27"/>
      <c r="K862" s="27"/>
      <c r="L862" s="27"/>
      <c r="M862" s="28"/>
      <c r="N862" s="25"/>
      <c r="O862" s="97">
        <f t="shared" si="72"/>
        <v>-347954.56997460267</v>
      </c>
    </row>
    <row r="863" spans="1:18" ht="15.95" customHeight="1" x14ac:dyDescent="0.25">
      <c r="A863" s="121"/>
      <c r="B863" s="26"/>
      <c r="C863" s="85"/>
      <c r="D863" s="27"/>
      <c r="E863" s="27"/>
      <c r="F863" s="27"/>
      <c r="G863" s="91"/>
      <c r="H863" s="27"/>
      <c r="I863" s="27"/>
      <c r="J863" s="27"/>
      <c r="K863" s="27"/>
      <c r="L863" s="27"/>
      <c r="M863" s="27"/>
      <c r="N863" s="28"/>
      <c r="O863" s="97">
        <f t="shared" si="72"/>
        <v>-339525.98972254788</v>
      </c>
    </row>
    <row r="864" spans="1:18" ht="15.95" customHeight="1" x14ac:dyDescent="0.25">
      <c r="A864" s="121"/>
      <c r="B864" s="23"/>
      <c r="C864" s="24"/>
      <c r="D864" s="24"/>
      <c r="E864" s="24"/>
      <c r="F864" s="24"/>
      <c r="G864" s="24"/>
      <c r="H864" s="24"/>
      <c r="I864" s="24"/>
      <c r="J864" s="24"/>
      <c r="K864" s="24"/>
      <c r="L864" s="24"/>
      <c r="M864" s="24"/>
      <c r="N864" s="25"/>
      <c r="O864" s="97">
        <f t="shared" si="72"/>
        <v>-277687.13947049307</v>
      </c>
    </row>
    <row r="865" spans="1:15" ht="15.95" customHeight="1" x14ac:dyDescent="0.25">
      <c r="A865" s="121"/>
      <c r="B865" s="683" t="s">
        <v>195</v>
      </c>
      <c r="C865" s="684"/>
      <c r="D865" s="684"/>
      <c r="E865" s="684"/>
      <c r="F865" s="684"/>
      <c r="G865" s="684"/>
      <c r="H865" s="684"/>
      <c r="I865" s="684"/>
      <c r="J865" s="684"/>
      <c r="K865" s="684"/>
      <c r="L865" s="684"/>
      <c r="M865" s="684"/>
      <c r="N865" s="685"/>
      <c r="O865" s="97">
        <f t="shared" si="72"/>
        <v>-216293.1308973424</v>
      </c>
    </row>
    <row r="866" spans="1:15" ht="15.95" customHeight="1" x14ac:dyDescent="0.25">
      <c r="A866" s="121"/>
      <c r="B866" s="23"/>
      <c r="C866" s="24"/>
      <c r="D866" s="24"/>
      <c r="E866" s="24"/>
      <c r="F866" s="31"/>
      <c r="G866" s="87"/>
      <c r="H866" s="31"/>
      <c r="I866" s="31"/>
      <c r="J866" s="24"/>
      <c r="K866" s="24"/>
      <c r="L866" s="24"/>
      <c r="M866" s="24"/>
      <c r="N866" s="25"/>
      <c r="O866" s="97">
        <f t="shared" si="72"/>
        <v>-155859.04391104105</v>
      </c>
    </row>
    <row r="867" spans="1:15" ht="15.95" customHeight="1" x14ac:dyDescent="0.25">
      <c r="A867" s="121"/>
      <c r="B867" s="23"/>
      <c r="C867" s="693" t="s">
        <v>233</v>
      </c>
      <c r="D867" s="694"/>
      <c r="E867" s="695"/>
      <c r="F867" s="31"/>
      <c r="G867" s="87"/>
      <c r="H867" s="31"/>
      <c r="I867" s="31"/>
      <c r="J867" s="24"/>
      <c r="K867" s="24"/>
      <c r="L867" s="24"/>
      <c r="M867" s="24"/>
      <c r="N867" s="25"/>
      <c r="O867" s="97">
        <f t="shared" si="72"/>
        <v>-96127.3385576164</v>
      </c>
    </row>
    <row r="868" spans="1:15" ht="15.95" customHeight="1" x14ac:dyDescent="0.25">
      <c r="A868" s="121"/>
      <c r="B868" s="23"/>
      <c r="C868" s="24"/>
      <c r="D868" s="24"/>
      <c r="E868" s="24"/>
      <c r="F868" s="31"/>
      <c r="G868" s="87"/>
      <c r="H868" s="31"/>
      <c r="I868" s="31"/>
      <c r="J868" s="24"/>
      <c r="K868" s="24"/>
      <c r="L868" s="24"/>
      <c r="M868" s="24"/>
      <c r="N868" s="25"/>
      <c r="O868" s="97">
        <f t="shared" si="72"/>
        <v>-36723.411255698593</v>
      </c>
    </row>
    <row r="869" spans="1:15" ht="15.95" customHeight="1" x14ac:dyDescent="0.25">
      <c r="A869" s="121"/>
      <c r="B869" s="23"/>
      <c r="C869" s="638" t="s">
        <v>37</v>
      </c>
      <c r="D869" s="639"/>
      <c r="E869" s="640"/>
      <c r="F869" s="31"/>
      <c r="G869" s="87"/>
      <c r="H869" s="641" t="s">
        <v>28</v>
      </c>
      <c r="I869" s="642"/>
      <c r="J869" s="39">
        <f>+$D$892-SUMIF($H$875:$H$889,"&lt;"&amp;$M$4,$K$875:$K$889)</f>
        <v>0</v>
      </c>
      <c r="K869" s="24"/>
      <c r="L869" s="24"/>
      <c r="M869" s="24"/>
      <c r="N869" s="25"/>
      <c r="O869" s="97">
        <f t="shared" si="72"/>
        <v>21603.530831972639</v>
      </c>
    </row>
    <row r="870" spans="1:15" ht="15.95" customHeight="1" x14ac:dyDescent="0.25">
      <c r="A870" s="121"/>
      <c r="B870" s="23"/>
      <c r="C870" s="58"/>
      <c r="D870" s="664"/>
      <c r="E870" s="665"/>
      <c r="F870" s="31"/>
      <c r="G870" s="87"/>
      <c r="H870" s="645" t="s">
        <v>29</v>
      </c>
      <c r="I870" s="646"/>
      <c r="J870" s="40">
        <f>+$D$891</f>
        <v>44304</v>
      </c>
      <c r="K870" s="24"/>
      <c r="L870" s="24"/>
      <c r="M870" s="24"/>
      <c r="N870" s="25"/>
      <c r="O870" s="97">
        <f t="shared" si="72"/>
        <v>79509.04398375345</v>
      </c>
    </row>
    <row r="871" spans="1:15" ht="15.95" customHeight="1" x14ac:dyDescent="0.25">
      <c r="A871" s="121"/>
      <c r="B871" s="23"/>
      <c r="C871" s="59" t="s">
        <v>25</v>
      </c>
      <c r="D871" s="681"/>
      <c r="E871" s="682"/>
      <c r="F871" s="31"/>
      <c r="G871" s="87"/>
      <c r="H871" s="649" t="s">
        <v>30</v>
      </c>
      <c r="I871" s="650"/>
      <c r="J871" s="42" t="str">
        <f t="array" ref="J871">+IF(H888&gt;=M4,MIN(IF($H$875:$H$889&gt;$M$4,$H$875:$H$889,"")),"vencida")</f>
        <v>vencida</v>
      </c>
      <c r="K871" s="24"/>
      <c r="L871" s="24"/>
      <c r="M871" s="24"/>
      <c r="N871" s="25"/>
      <c r="O871" s="97">
        <f t="shared" si="72"/>
        <v>136431.22280567125</v>
      </c>
    </row>
    <row r="872" spans="1:15" ht="15.95" customHeight="1" x14ac:dyDescent="0.25">
      <c r="A872" s="121"/>
      <c r="B872" s="23"/>
      <c r="C872" s="59" t="s">
        <v>6</v>
      </c>
      <c r="D872" s="681" t="s">
        <v>239</v>
      </c>
      <c r="E872" s="682"/>
      <c r="F872" s="31"/>
      <c r="G872" s="87"/>
      <c r="H872" s="24"/>
      <c r="I872" s="24"/>
      <c r="J872" s="24"/>
      <c r="K872" s="24"/>
      <c r="L872" s="24"/>
      <c r="M872" s="24"/>
      <c r="N872" s="25"/>
      <c r="O872" s="97">
        <f t="shared" si="72"/>
        <v>192651.01999471235</v>
      </c>
    </row>
    <row r="873" spans="1:15" ht="15.95" customHeight="1" x14ac:dyDescent="0.25">
      <c r="A873" s="121"/>
      <c r="B873" s="23"/>
      <c r="C873" s="59" t="s">
        <v>8</v>
      </c>
      <c r="D873" s="681" t="s">
        <v>17</v>
      </c>
      <c r="E873" s="682"/>
      <c r="F873" s="31"/>
      <c r="G873" s="87"/>
      <c r="H873" s="651" t="s">
        <v>41</v>
      </c>
      <c r="I873" s="652"/>
      <c r="J873" s="652"/>
      <c r="K873" s="652"/>
      <c r="L873" s="653"/>
      <c r="M873" s="24"/>
      <c r="N873" s="25"/>
      <c r="O873" s="97">
        <f t="shared" si="72"/>
        <v>248238.67373608222</v>
      </c>
    </row>
    <row r="874" spans="1:15" ht="15.95" customHeight="1" x14ac:dyDescent="0.25">
      <c r="A874" s="121"/>
      <c r="B874" s="23"/>
      <c r="C874" s="59" t="s">
        <v>33</v>
      </c>
      <c r="D874" s="132" t="s">
        <v>325</v>
      </c>
      <c r="E874" s="274">
        <v>0.29670000000000002</v>
      </c>
      <c r="F874" s="281">
        <f>+E874*($J$869+$J$912)</f>
        <v>0</v>
      </c>
      <c r="G874" s="87"/>
      <c r="H874" s="126" t="s">
        <v>0</v>
      </c>
      <c r="I874" s="127" t="s">
        <v>2</v>
      </c>
      <c r="J874" s="127" t="s">
        <v>3</v>
      </c>
      <c r="K874" s="127" t="s">
        <v>4</v>
      </c>
      <c r="L874" s="128" t="s">
        <v>5</v>
      </c>
      <c r="M874" s="127" t="s">
        <v>44</v>
      </c>
      <c r="N874" s="25"/>
      <c r="O874" s="97">
        <f t="shared" si="72"/>
        <v>303053.70765936986</v>
      </c>
    </row>
    <row r="875" spans="1:15" ht="15.95" customHeight="1" x14ac:dyDescent="0.25">
      <c r="A875" s="121"/>
      <c r="B875" s="23"/>
      <c r="C875" s="278" t="s">
        <v>33</v>
      </c>
      <c r="D875" s="132" t="s">
        <v>287</v>
      </c>
      <c r="E875" s="274">
        <v>0.1767</v>
      </c>
      <c r="F875" s="281">
        <f>+E875*($J$869+$J$912)</f>
        <v>0</v>
      </c>
      <c r="G875" s="87"/>
      <c r="H875" s="45"/>
      <c r="I875" s="46"/>
      <c r="J875" s="46"/>
      <c r="K875" s="46"/>
      <c r="L875" s="47"/>
      <c r="M875" s="23"/>
      <c r="N875" s="25"/>
    </row>
    <row r="876" spans="1:15" ht="15.95" customHeight="1" x14ac:dyDescent="0.25">
      <c r="A876" s="121"/>
      <c r="B876" s="23"/>
      <c r="C876" s="278" t="s">
        <v>33</v>
      </c>
      <c r="D876" s="132" t="s">
        <v>295</v>
      </c>
      <c r="E876" s="274">
        <v>0.3</v>
      </c>
      <c r="F876" s="281">
        <f>+E876*($J$869+$J$912)</f>
        <v>0</v>
      </c>
      <c r="G876" s="87"/>
      <c r="H876" s="48">
        <f>+$D$890</f>
        <v>43208</v>
      </c>
      <c r="I876" s="136"/>
      <c r="J876" s="49"/>
      <c r="K876" s="49"/>
      <c r="L876" s="50">
        <f>+D892</f>
        <v>1050000</v>
      </c>
      <c r="M876" s="93">
        <f>-L876</f>
        <v>-1050000</v>
      </c>
      <c r="N876" s="25"/>
    </row>
    <row r="877" spans="1:15" ht="15.95" customHeight="1" x14ac:dyDescent="0.25">
      <c r="A877" s="121"/>
      <c r="B877" s="23"/>
      <c r="C877" s="278" t="s">
        <v>33</v>
      </c>
      <c r="D877" s="132" t="s">
        <v>301</v>
      </c>
      <c r="E877" s="274">
        <v>0.2266</v>
      </c>
      <c r="F877" s="281">
        <f>+E877*($J$869+$J$912)</f>
        <v>0</v>
      </c>
      <c r="G877" s="87"/>
      <c r="H877" s="51">
        <f>IF(DAY(H876)=DAY($H$876),IF(WEEKDAY(EDATE(H876,$D$893),3)&lt;5,EDATE(H876,$D$893),WORKDAY(EDATE(H876,$D$893),1)),IF(WEEKDAY(EDATE($H$876,$D$893*COUNT($H$876:H876)),3)&lt;5,EDATE($H$876,$D$893*COUNT($H$876:H876)),WORKDAY(EDATE($H$876,$D$893*COUNT($H$876:H876)),1)))</f>
        <v>43299</v>
      </c>
      <c r="I877" s="137" t="s">
        <v>7</v>
      </c>
      <c r="J877" s="52">
        <f t="shared" ref="J877:J888" si="73">+(($D$895/365)*(H877-H876))*L876</f>
        <v>18324.657534246577</v>
      </c>
      <c r="K877" s="52">
        <f>+IF(OR(I877="A + C",I877="A"),$L$876*$D$896,0)</f>
        <v>0</v>
      </c>
      <c r="L877" s="53">
        <f t="shared" ref="L877:L888" si="74">+L876-K877</f>
        <v>1050000</v>
      </c>
      <c r="M877" s="94">
        <f t="shared" ref="M877:M888" si="75">+J877+K877</f>
        <v>18324.657534246577</v>
      </c>
      <c r="N877" s="25"/>
    </row>
    <row r="878" spans="1:15" ht="15.95" customHeight="1" x14ac:dyDescent="0.25">
      <c r="A878" s="121"/>
      <c r="B878" s="23"/>
      <c r="C878" s="59" t="s">
        <v>34</v>
      </c>
      <c r="D878" s="681" t="s">
        <v>48</v>
      </c>
      <c r="E878" s="682"/>
      <c r="F878" s="34"/>
      <c r="G878" s="88"/>
      <c r="H878" s="51">
        <f>IF(DAY(H877)=DAY($H$876),IF(WEEKDAY(EDATE(H877,$D$893),3)&lt;5,EDATE(H877,$D$893),WORKDAY(EDATE(H877,$D$893),1)),IF(WEEKDAY(EDATE($H$876,$D$893*COUNT($H$876:H877)),3)&lt;5,EDATE($H$876,$D$893*COUNT($H$876:H877)),WORKDAY(EDATE($H$876,$D$893*COUNT($H$876:H877)),1)))</f>
        <v>43391</v>
      </c>
      <c r="I878" s="137" t="s">
        <v>7</v>
      </c>
      <c r="J878" s="52">
        <f t="shared" si="73"/>
        <v>18526.027397260277</v>
      </c>
      <c r="K878" s="52">
        <f>+IF(OR(I878="A + C",I878="A"),$D$892*$D$896,0)</f>
        <v>0</v>
      </c>
      <c r="L878" s="53">
        <f t="shared" si="74"/>
        <v>1050000</v>
      </c>
      <c r="M878" s="94">
        <f t="shared" si="75"/>
        <v>18526.027397260277</v>
      </c>
      <c r="N878" s="25"/>
    </row>
    <row r="879" spans="1:15" ht="15.95" customHeight="1" x14ac:dyDescent="0.25">
      <c r="A879" s="121"/>
      <c r="B879" s="23"/>
      <c r="C879" s="79" t="s">
        <v>38</v>
      </c>
      <c r="D879" s="130"/>
      <c r="E879" s="131"/>
      <c r="F879" s="34"/>
      <c r="G879" s="88"/>
      <c r="H879" s="51">
        <f>IF(DAY(H878)=DAY($H$876),IF(WEEKDAY(EDATE(H878,$D$893),3)&lt;5,EDATE(H878,$D$893),WORKDAY(EDATE(H878,$D$893),1)),IF(WEEKDAY(EDATE($H$876,$D$893*COUNT($H$876:H878)),3)&lt;5,EDATE($H$876,$D$893*COUNT($H$876:H878)),WORKDAY(EDATE($H$876,$D$893*COUNT($H$876:H878)),1)))</f>
        <v>43483</v>
      </c>
      <c r="I879" s="137" t="s">
        <v>7</v>
      </c>
      <c r="J879" s="52">
        <f t="shared" si="73"/>
        <v>18526.027397260277</v>
      </c>
      <c r="K879" s="52">
        <f>+IF(OR(I879="A + C",I879="A"),$D$892*$D$896,0)</f>
        <v>0</v>
      </c>
      <c r="L879" s="53">
        <f t="shared" si="74"/>
        <v>1050000</v>
      </c>
      <c r="M879" s="94">
        <f t="shared" si="75"/>
        <v>18526.027397260277</v>
      </c>
      <c r="N879" s="25"/>
    </row>
    <row r="880" spans="1:15" ht="15.95" customHeight="1" x14ac:dyDescent="0.25">
      <c r="A880" s="121"/>
      <c r="B880" s="32"/>
      <c r="C880" s="59"/>
      <c r="D880" s="132"/>
      <c r="E880" s="133"/>
      <c r="F880" s="34"/>
      <c r="G880" s="88"/>
      <c r="H880" s="51">
        <f>IF(DAY(H879)=DAY($H$876),IF(WEEKDAY(EDATE(H879,$D$893),3)&lt;5,EDATE(H879,$D$893),WORKDAY(EDATE(H879,$D$893),1)),IF(WEEKDAY(EDATE($H$876,$D$893*COUNT($H$876:H879)),3)&lt;5,EDATE($H$876,$D$893*COUNT($H$876:H879)),WORKDAY(EDATE($H$876,$D$893*COUNT($H$876:H879)),1)))</f>
        <v>43573</v>
      </c>
      <c r="I880" s="137" t="s">
        <v>7</v>
      </c>
      <c r="J880" s="52">
        <f t="shared" si="73"/>
        <v>18123.28767123288</v>
      </c>
      <c r="K880" s="52">
        <f>+IF(OR(I880="A + C",I880="A"),$D$892*$D$896,0)</f>
        <v>0</v>
      </c>
      <c r="L880" s="53">
        <f t="shared" si="74"/>
        <v>1050000</v>
      </c>
      <c r="M880" s="94">
        <f t="shared" si="75"/>
        <v>18123.28767123288</v>
      </c>
      <c r="N880" s="25"/>
    </row>
    <row r="881" spans="1:14" ht="15.95" customHeight="1" x14ac:dyDescent="0.25">
      <c r="A881" s="121"/>
      <c r="B881" s="23"/>
      <c r="C881" s="60"/>
      <c r="D881" s="134"/>
      <c r="E881" s="135"/>
      <c r="F881" s="34"/>
      <c r="G881" s="88"/>
      <c r="H881" s="51">
        <f>IF(DAY(H880)=DAY($H$876),IF(WEEKDAY(EDATE(H880,$D$893),3)&lt;5,EDATE(H880,$D$893),WORKDAY(EDATE(H880,$D$893),1)),IF(WEEKDAY(EDATE($H$876,$D$893*COUNT($H$876:H880)),3)&lt;5,EDATE($H$876,$D$893*COUNT($H$876:H880)),WORKDAY(EDATE($H$876,$D$893*COUNT($H$876:H880)),1)))</f>
        <v>43664</v>
      </c>
      <c r="I881" s="137" t="s">
        <v>7</v>
      </c>
      <c r="J881" s="52">
        <f t="shared" si="73"/>
        <v>18324.657534246577</v>
      </c>
      <c r="K881" s="52">
        <f>+IF(OR(I881="A + C",I881="A"),$D$892*$D$896,0)</f>
        <v>0</v>
      </c>
      <c r="L881" s="53">
        <f t="shared" si="74"/>
        <v>1050000</v>
      </c>
      <c r="M881" s="94">
        <f t="shared" si="75"/>
        <v>18324.657534246577</v>
      </c>
      <c r="N881" s="25"/>
    </row>
    <row r="882" spans="1:14" ht="15.95" customHeight="1" x14ac:dyDescent="0.25">
      <c r="A882" s="121"/>
      <c r="B882" s="23"/>
      <c r="C882" s="60"/>
      <c r="D882" s="275" t="str">
        <f>B865</f>
        <v>Esquina 3 I</v>
      </c>
      <c r="E882" s="276"/>
      <c r="F882" s="36"/>
      <c r="G882" s="89">
        <f>J869</f>
        <v>0</v>
      </c>
      <c r="H882" s="51">
        <f>IF(DAY(H881)=DAY($H$876),IF(WEEKDAY(EDATE(H881,$D$893),3)&lt;5,EDATE(H881,$D$893),WORKDAY(EDATE(H881,$D$893),1)),IF(WEEKDAY(EDATE($H$876,$D$893*COUNT($H$876:H881)),3)&lt;5,EDATE($H$876,$D$893*COUNT($H$876:H881)),WORKDAY(EDATE($H$876,$D$893*COUNT($H$876:H881)),1)))</f>
        <v>43756</v>
      </c>
      <c r="I882" s="137" t="s">
        <v>7</v>
      </c>
      <c r="J882" s="52">
        <f t="shared" si="73"/>
        <v>18526.027397260277</v>
      </c>
      <c r="K882" s="52">
        <f>+IF(OR(I882="A + C",I882="A"),$D$892*$D$897,0)</f>
        <v>0</v>
      </c>
      <c r="L882" s="53">
        <f t="shared" si="74"/>
        <v>1050000</v>
      </c>
      <c r="M882" s="94">
        <f t="shared" si="75"/>
        <v>18526.027397260277</v>
      </c>
      <c r="N882" s="25"/>
    </row>
    <row r="883" spans="1:14" ht="15.95" customHeight="1" x14ac:dyDescent="0.25">
      <c r="A883" s="121"/>
      <c r="B883" s="23"/>
      <c r="D883" s="277"/>
      <c r="E883" s="277"/>
      <c r="F883" s="36"/>
      <c r="G883" s="89"/>
      <c r="H883" s="51">
        <f>IF(DAY(H882)=DAY($H$876),IF(WEEKDAY(EDATE(H882,$D$893),3)&lt;5,EDATE(H882,$D$893),WORKDAY(EDATE(H882,$D$893),1)),IF(WEEKDAY(EDATE($H$876,$D$893*COUNT($H$876:H882)),3)&lt;5,EDATE($H$876,$D$893*COUNT($H$876:H882)),WORKDAY(EDATE($H$876,$D$893*COUNT($H$876:H882)),1)))</f>
        <v>43850</v>
      </c>
      <c r="I883" s="137" t="s">
        <v>7</v>
      </c>
      <c r="J883" s="52">
        <f t="shared" si="73"/>
        <v>18928.767123287671</v>
      </c>
      <c r="K883" s="52">
        <f>+IF(OR(I883="A + C",I883="A"),$D$892*$D$897,0)</f>
        <v>0</v>
      </c>
      <c r="L883" s="53">
        <f t="shared" si="74"/>
        <v>1050000</v>
      </c>
      <c r="M883" s="94">
        <f t="shared" si="75"/>
        <v>18928.767123287671</v>
      </c>
      <c r="N883" s="25"/>
    </row>
    <row r="884" spans="1:14" ht="15.95" customHeight="1" x14ac:dyDescent="0.25">
      <c r="A884" s="121"/>
      <c r="B884" s="23"/>
      <c r="C884" s="638" t="s">
        <v>36</v>
      </c>
      <c r="D884" s="640"/>
      <c r="E884" s="36"/>
      <c r="F884" s="36"/>
      <c r="G884" s="89"/>
      <c r="H884" s="51">
        <f>IF(DAY(H883)=DAY($H$876),IF(WEEKDAY(EDATE(H883,$D$893),3)&lt;5,EDATE(H883,$D$893),WORKDAY(EDATE(H883,$D$893),1)),IF(WEEKDAY(EDATE($H$876,$D$893*COUNT($H$876:H883)),3)&lt;5,EDATE($H$876,$D$893*COUNT($H$876:H883)),WORKDAY(EDATE($H$876,$D$893*COUNT($H$876:H883)),1)))</f>
        <v>43941</v>
      </c>
      <c r="I884" s="137" t="s">
        <v>13</v>
      </c>
      <c r="J884" s="52">
        <f t="shared" si="73"/>
        <v>18324.657534246577</v>
      </c>
      <c r="K884" s="52">
        <f>+IF(OR(I884="A + C",I884="A"),$D$892*$D$896,0)</f>
        <v>525000</v>
      </c>
      <c r="L884" s="53">
        <f t="shared" si="74"/>
        <v>525000</v>
      </c>
      <c r="M884" s="94">
        <f t="shared" si="75"/>
        <v>543324.65753424657</v>
      </c>
      <c r="N884" s="25"/>
    </row>
    <row r="885" spans="1:14" ht="15.95" customHeight="1" x14ac:dyDescent="0.25">
      <c r="A885" s="121"/>
      <c r="B885" s="23"/>
      <c r="C885" s="59"/>
      <c r="D885" s="62"/>
      <c r="E885" s="36"/>
      <c r="F885" s="36"/>
      <c r="G885" s="89"/>
      <c r="H885" s="51">
        <f>IF(DAY(H884)=DAY($H$876),IF(WEEKDAY(EDATE(H884,$D$893),3)&lt;5,EDATE(H884,$D$893),WORKDAY(EDATE(H884,$D$893),1)),IF(WEEKDAY(EDATE($H$876,$D$893*COUNT($H$876:H884)),3)&lt;5,EDATE($H$876,$D$893*COUNT($H$876:H884)),WORKDAY(EDATE($H$876,$D$893*COUNT($H$876:H884)),1)))</f>
        <v>44032</v>
      </c>
      <c r="I885" s="137" t="s">
        <v>7</v>
      </c>
      <c r="J885" s="52">
        <f t="shared" si="73"/>
        <v>9162.3287671232883</v>
      </c>
      <c r="K885" s="52">
        <f>+IF(OR(I885="A + C",I885="A"),$D$892*$D$897,0)</f>
        <v>0</v>
      </c>
      <c r="L885" s="53">
        <f t="shared" si="74"/>
        <v>525000</v>
      </c>
      <c r="M885" s="94">
        <f t="shared" si="75"/>
        <v>9162.3287671232883</v>
      </c>
      <c r="N885" s="25"/>
    </row>
    <row r="886" spans="1:14" ht="15.95" customHeight="1" x14ac:dyDescent="0.25">
      <c r="A886" s="121"/>
      <c r="B886" s="23"/>
      <c r="C886" s="59" t="s">
        <v>9</v>
      </c>
      <c r="D886" s="129" t="s">
        <v>49</v>
      </c>
      <c r="E886" s="36"/>
      <c r="F886" s="36"/>
      <c r="G886" s="89"/>
      <c r="H886" s="51">
        <f>IF(DAY(H885)=DAY($H$876),IF(WEEKDAY(EDATE(H885,$D$893),3)&lt;5,EDATE(H885,$D$893),WORKDAY(EDATE(H885,$D$893),1)),IF(WEEKDAY(EDATE($H$876,$D$893*COUNT($H$876:H885)),3)&lt;5,EDATE($H$876,$D$893*COUNT($H$876:H885)),WORKDAY(EDATE($H$876,$D$893*COUNT($H$876:H885)),1)))</f>
        <v>44123</v>
      </c>
      <c r="I886" s="137" t="s">
        <v>7</v>
      </c>
      <c r="J886" s="52">
        <f t="shared" si="73"/>
        <v>9162.3287671232883</v>
      </c>
      <c r="K886" s="52">
        <f>+IF(OR(I886="A + C",I886="A"),$D$892*$D$897,0)</f>
        <v>0</v>
      </c>
      <c r="L886" s="53">
        <f t="shared" si="74"/>
        <v>525000</v>
      </c>
      <c r="M886" s="94">
        <f t="shared" si="75"/>
        <v>9162.3287671232883</v>
      </c>
      <c r="N886" s="25"/>
    </row>
    <row r="887" spans="1:14" ht="15.95" customHeight="1" x14ac:dyDescent="0.25">
      <c r="A887" s="121"/>
      <c r="B887" s="23"/>
      <c r="C887" s="59" t="s">
        <v>51</v>
      </c>
      <c r="D887" s="138" t="s">
        <v>49</v>
      </c>
      <c r="E887" s="36"/>
      <c r="F887" s="24"/>
      <c r="G887" s="90"/>
      <c r="H887" s="51">
        <f>IF(DAY(H886)=DAY($H$876),IF(WEEKDAY(EDATE(H886,$D$893),3)&lt;5,EDATE(H886,$D$893),WORKDAY(EDATE(H886,$D$893),1)),IF(WEEKDAY(EDATE($H$876,$D$893*COUNT($H$876:H886)),3)&lt;5,EDATE($H$876,$D$893*COUNT($H$876:H886)),WORKDAY(EDATE($H$876,$D$893*COUNT($H$876:H886)),1)))</f>
        <v>44214</v>
      </c>
      <c r="I887" s="137" t="s">
        <v>7</v>
      </c>
      <c r="J887" s="52">
        <f t="shared" si="73"/>
        <v>9162.3287671232883</v>
      </c>
      <c r="K887" s="52">
        <f>+IF(OR(I887="A + C",I887="A"),$D$892*$D$897,0)</f>
        <v>0</v>
      </c>
      <c r="L887" s="53">
        <f t="shared" si="74"/>
        <v>525000</v>
      </c>
      <c r="M887" s="94">
        <f t="shared" si="75"/>
        <v>9162.3287671232883</v>
      </c>
      <c r="N887" s="25"/>
    </row>
    <row r="888" spans="1:14" ht="15.95" customHeight="1" x14ac:dyDescent="0.25">
      <c r="A888" s="121"/>
      <c r="B888" s="23"/>
      <c r="C888" s="59" t="s">
        <v>52</v>
      </c>
      <c r="D888" s="138" t="s">
        <v>49</v>
      </c>
      <c r="E888" s="36"/>
      <c r="F888" s="24"/>
      <c r="G888" s="90"/>
      <c r="H888" s="51">
        <f>IF(DAY(H887)=DAY($H$876),IF(WEEKDAY(EDATE(H887,$D$893),3)&lt;5,EDATE(H887,$D$893),WORKDAY(EDATE(H887,$D$893),1)),IF(WEEKDAY(EDATE($H$876,$D$893*COUNT($H$876:H887)),3)&lt;5,EDATE($H$876,$D$893*COUNT($H$876:H887)),WORKDAY(EDATE($H$876,$D$893*COUNT($H$876:H887)),1)))</f>
        <v>44305</v>
      </c>
      <c r="I888" s="137" t="s">
        <v>13</v>
      </c>
      <c r="J888" s="52">
        <f t="shared" si="73"/>
        <v>9162.3287671232883</v>
      </c>
      <c r="K888" s="52">
        <f>+IF(OR(I888="A + C",I888="A"),$D$892*$D$896,0)</f>
        <v>525000</v>
      </c>
      <c r="L888" s="53">
        <f t="shared" si="74"/>
        <v>0</v>
      </c>
      <c r="M888" s="94">
        <f t="shared" si="75"/>
        <v>534162.32876712328</v>
      </c>
      <c r="N888" s="25"/>
    </row>
    <row r="889" spans="1:14" ht="15.95" customHeight="1" x14ac:dyDescent="0.25">
      <c r="A889" s="121"/>
      <c r="B889" s="23"/>
      <c r="C889" s="59" t="s">
        <v>10</v>
      </c>
      <c r="D889" s="139">
        <v>43206</v>
      </c>
      <c r="E889" s="36"/>
      <c r="F889" s="24"/>
      <c r="G889" s="90"/>
      <c r="H889" s="54"/>
      <c r="I889" s="144"/>
      <c r="J889" s="55"/>
      <c r="K889" s="56"/>
      <c r="L889" s="57"/>
      <c r="M889" s="109"/>
      <c r="N889" s="25"/>
    </row>
    <row r="890" spans="1:14" ht="15.95" customHeight="1" x14ac:dyDescent="0.25">
      <c r="A890" s="121"/>
      <c r="B890" s="23"/>
      <c r="C890" s="59" t="s">
        <v>11</v>
      </c>
      <c r="D890" s="139">
        <v>43208</v>
      </c>
      <c r="E890" s="41"/>
      <c r="F890" s="24"/>
      <c r="G890" s="90"/>
      <c r="H890" s="24"/>
      <c r="I890" s="24"/>
      <c r="J890" s="24"/>
      <c r="K890" s="24"/>
      <c r="L890" s="24"/>
      <c r="M890" s="24"/>
      <c r="N890" s="25"/>
    </row>
    <row r="891" spans="1:14" ht="15.95" customHeight="1" x14ac:dyDescent="0.25">
      <c r="A891" s="121"/>
      <c r="B891" s="23"/>
      <c r="C891" s="59" t="s">
        <v>12</v>
      </c>
      <c r="D891" s="139">
        <v>44304</v>
      </c>
      <c r="E891" s="36"/>
      <c r="F891" s="24"/>
      <c r="G891" s="90"/>
      <c r="H891" s="680" t="s">
        <v>43</v>
      </c>
      <c r="I891" s="680"/>
      <c r="J891" s="92">
        <v>0</v>
      </c>
      <c r="K891" s="92"/>
      <c r="L891" s="24"/>
      <c r="M891" s="33"/>
      <c r="N891" s="25"/>
    </row>
    <row r="892" spans="1:14" ht="15.95" customHeight="1" x14ac:dyDescent="0.25">
      <c r="A892" s="121"/>
      <c r="B892" s="23"/>
      <c r="C892" s="59" t="s">
        <v>27</v>
      </c>
      <c r="D892" s="140">
        <v>1050000</v>
      </c>
      <c r="E892" s="43"/>
      <c r="F892" s="24"/>
      <c r="G892" s="90"/>
      <c r="H892" s="657"/>
      <c r="I892" s="657"/>
      <c r="J892" s="392"/>
      <c r="K892" s="24"/>
      <c r="L892" s="33"/>
      <c r="M892" s="33"/>
      <c r="N892" s="25"/>
    </row>
    <row r="893" spans="1:14" ht="15.95" customHeight="1" x14ac:dyDescent="0.25">
      <c r="A893" s="121"/>
      <c r="B893" s="23"/>
      <c r="C893" s="59" t="s">
        <v>26</v>
      </c>
      <c r="D893" s="140">
        <v>3</v>
      </c>
      <c r="E893" s="43"/>
      <c r="F893" s="24"/>
      <c r="G893" s="90"/>
      <c r="H893" s="24"/>
      <c r="I893" s="24"/>
      <c r="J893" s="24"/>
      <c r="K893" s="24"/>
      <c r="L893" s="24"/>
      <c r="M893" s="24"/>
      <c r="N893" s="25"/>
    </row>
    <row r="894" spans="1:14" ht="15.95" customHeight="1" x14ac:dyDescent="0.25">
      <c r="A894" s="121"/>
      <c r="B894" s="23"/>
      <c r="C894" s="59" t="s">
        <v>19</v>
      </c>
      <c r="D894" s="141" t="s">
        <v>50</v>
      </c>
      <c r="E894" s="43"/>
      <c r="F894" s="24"/>
      <c r="G894" s="90"/>
      <c r="H894" s="638" t="s">
        <v>44</v>
      </c>
      <c r="I894" s="639"/>
      <c r="J894" s="639"/>
      <c r="K894" s="639"/>
      <c r="L894" s="639"/>
      <c r="M894" s="640"/>
      <c r="N894" s="25"/>
    </row>
    <row r="895" spans="1:14" ht="15.95" customHeight="1" x14ac:dyDescent="0.25">
      <c r="A895" s="121"/>
      <c r="B895" s="23"/>
      <c r="C895" s="59" t="s">
        <v>14</v>
      </c>
      <c r="D895" s="142">
        <v>7.0000000000000007E-2</v>
      </c>
      <c r="E895" s="44"/>
      <c r="F895" s="24"/>
      <c r="G895" s="90"/>
      <c r="H895" s="23"/>
      <c r="I895" s="24"/>
      <c r="J895" s="24"/>
      <c r="K895" s="24"/>
      <c r="L895" s="24"/>
      <c r="M895" s="25"/>
      <c r="N895" s="25"/>
    </row>
    <row r="896" spans="1:14" ht="15.95" customHeight="1" x14ac:dyDescent="0.25">
      <c r="A896" s="121"/>
      <c r="B896" s="23"/>
      <c r="C896" s="59" t="s">
        <v>81</v>
      </c>
      <c r="D896" s="143">
        <v>0.5</v>
      </c>
      <c r="E896" s="24"/>
      <c r="F896" s="24"/>
      <c r="G896" s="90"/>
      <c r="H896" s="23"/>
      <c r="I896" s="24"/>
      <c r="J896" s="24"/>
      <c r="K896" s="24"/>
      <c r="L896" s="24"/>
      <c r="M896" s="25"/>
      <c r="N896" s="25"/>
    </row>
    <row r="897" spans="1:15" ht="15.95" customHeight="1" x14ac:dyDescent="0.25">
      <c r="A897" s="121"/>
      <c r="B897" s="23"/>
      <c r="C897" s="63"/>
      <c r="D897" s="145"/>
      <c r="E897" s="24"/>
      <c r="F897" s="24"/>
      <c r="G897" s="90"/>
      <c r="H897" s="96"/>
      <c r="I897" s="35"/>
      <c r="J897" s="24"/>
      <c r="K897" s="24"/>
      <c r="L897" s="24"/>
      <c r="M897" s="25"/>
      <c r="N897" s="25"/>
    </row>
    <row r="898" spans="1:15" ht="15.95" customHeight="1" x14ac:dyDescent="0.25">
      <c r="A898" s="121"/>
      <c r="B898" s="23"/>
      <c r="C898" s="24"/>
      <c r="D898" s="24"/>
      <c r="E898" s="24"/>
      <c r="F898" s="24"/>
      <c r="G898" s="90"/>
      <c r="H898" s="23"/>
      <c r="I898" s="24"/>
      <c r="J898" s="24"/>
      <c r="K898" s="24"/>
      <c r="L898" s="24"/>
      <c r="M898" s="25"/>
      <c r="N898" s="25"/>
      <c r="O898" s="97">
        <f>+M1012</f>
        <v>-1168335</v>
      </c>
    </row>
    <row r="899" spans="1:15" ht="15.95" customHeight="1" x14ac:dyDescent="0.25">
      <c r="A899" s="121"/>
      <c r="B899" s="23"/>
      <c r="C899" s="24"/>
      <c r="D899" s="24"/>
      <c r="E899" s="24"/>
      <c r="F899" s="24"/>
      <c r="G899" s="90"/>
      <c r="H899" s="23"/>
      <c r="I899" s="24"/>
      <c r="J899" s="24"/>
      <c r="K899" s="24"/>
      <c r="L899" s="24"/>
      <c r="M899" s="25"/>
      <c r="N899" s="25"/>
      <c r="O899" s="97">
        <f t="shared" ref="O899:O910" si="76">+M1013+O898</f>
        <v>-1030233.0016232877</v>
      </c>
    </row>
    <row r="900" spans="1:15" ht="15.95" customHeight="1" x14ac:dyDescent="0.25">
      <c r="A900" s="121"/>
      <c r="B900" s="23"/>
      <c r="C900" s="24"/>
      <c r="D900" s="24"/>
      <c r="E900" s="24"/>
      <c r="F900" s="24"/>
      <c r="G900" s="90"/>
      <c r="H900" s="23"/>
      <c r="I900" s="24"/>
      <c r="J900" s="24"/>
      <c r="K900" s="24"/>
      <c r="L900" s="24"/>
      <c r="M900" s="25"/>
      <c r="N900" s="25"/>
      <c r="O900" s="97">
        <f t="shared" si="76"/>
        <v>-895938.7510528767</v>
      </c>
    </row>
    <row r="901" spans="1:15" ht="15.95" customHeight="1" x14ac:dyDescent="0.25">
      <c r="A901" s="121"/>
      <c r="B901" s="23"/>
      <c r="C901" s="24"/>
      <c r="D901" s="24"/>
      <c r="E901" s="24"/>
      <c r="F901" s="24"/>
      <c r="G901" s="90"/>
      <c r="H901" s="23"/>
      <c r="I901" s="24"/>
      <c r="J901" s="24"/>
      <c r="K901" s="24"/>
      <c r="L901" s="24"/>
      <c r="M901" s="25"/>
      <c r="N901" s="25"/>
      <c r="O901" s="97">
        <f t="shared" si="76"/>
        <v>-764257.1792232329</v>
      </c>
    </row>
    <row r="902" spans="1:15" ht="15.95" customHeight="1" x14ac:dyDescent="0.25">
      <c r="A902" s="121"/>
      <c r="B902" s="23"/>
      <c r="C902" s="24"/>
      <c r="D902" s="24"/>
      <c r="E902" s="24"/>
      <c r="F902" s="24"/>
      <c r="G902" s="90"/>
      <c r="H902" s="23"/>
      <c r="I902" s="24"/>
      <c r="J902" s="24"/>
      <c r="K902" s="24"/>
      <c r="L902" s="24"/>
      <c r="M902" s="25"/>
      <c r="N902" s="25"/>
      <c r="O902" s="97">
        <f t="shared" si="76"/>
        <v>-636009.88491369865</v>
      </c>
    </row>
    <row r="903" spans="1:15" ht="15.95" customHeight="1" x14ac:dyDescent="0.25">
      <c r="A903" s="121"/>
      <c r="B903" s="23"/>
      <c r="C903" s="24"/>
      <c r="D903" s="24"/>
      <c r="E903" s="24"/>
      <c r="F903" s="24"/>
      <c r="G903" s="90"/>
      <c r="H903" s="23"/>
      <c r="I903" s="24"/>
      <c r="J903" s="24"/>
      <c r="K903" s="24"/>
      <c r="L903" s="24"/>
      <c r="M903" s="25"/>
      <c r="N903" s="25"/>
      <c r="O903" s="97">
        <f t="shared" si="76"/>
        <v>-511495.68020350684</v>
      </c>
    </row>
    <row r="904" spans="1:15" ht="15.95" customHeight="1" x14ac:dyDescent="0.25">
      <c r="A904" s="121"/>
      <c r="B904" s="23"/>
      <c r="C904" s="24"/>
      <c r="D904" s="24"/>
      <c r="E904" s="24"/>
      <c r="F904" s="24"/>
      <c r="G904" s="90"/>
      <c r="H904" s="23"/>
      <c r="I904" s="24"/>
      <c r="J904" s="24"/>
      <c r="K904" s="24"/>
      <c r="L904" s="24"/>
      <c r="M904" s="25"/>
      <c r="N904" s="25"/>
      <c r="O904" s="97">
        <f t="shared" si="76"/>
        <v>-390378.42390994518</v>
      </c>
    </row>
    <row r="905" spans="1:15" ht="15.95" customHeight="1" x14ac:dyDescent="0.25">
      <c r="A905" s="121"/>
      <c r="B905" s="23"/>
      <c r="C905" s="24"/>
      <c r="D905" s="24"/>
      <c r="E905" s="24"/>
      <c r="F905" s="24"/>
      <c r="G905" s="90"/>
      <c r="H905" s="23"/>
      <c r="I905" s="24"/>
      <c r="J905" s="24"/>
      <c r="K905" s="24"/>
      <c r="L905" s="24"/>
      <c r="M905" s="25"/>
      <c r="N905" s="25"/>
      <c r="O905" s="97">
        <f t="shared" si="76"/>
        <v>-271985.65441619174</v>
      </c>
    </row>
    <row r="906" spans="1:15" ht="15.95" customHeight="1" x14ac:dyDescent="0.25">
      <c r="A906" s="121"/>
      <c r="B906" s="23"/>
      <c r="C906" s="24"/>
      <c r="D906" s="24"/>
      <c r="E906" s="24"/>
      <c r="F906" s="24"/>
      <c r="G906" s="90"/>
      <c r="H906" s="26"/>
      <c r="I906" s="27"/>
      <c r="J906" s="27"/>
      <c r="K906" s="27"/>
      <c r="L906" s="27"/>
      <c r="M906" s="28"/>
      <c r="N906" s="25"/>
      <c r="O906" s="97">
        <f t="shared" si="76"/>
        <v>-157662.29495589036</v>
      </c>
    </row>
    <row r="907" spans="1:15" ht="15.95" customHeight="1" x14ac:dyDescent="0.25">
      <c r="A907" s="121"/>
      <c r="B907" s="152"/>
      <c r="C907" s="156"/>
      <c r="D907" s="153"/>
      <c r="E907" s="153"/>
      <c r="F907" s="153"/>
      <c r="G907" s="154"/>
      <c r="H907" s="153"/>
      <c r="I907" s="153"/>
      <c r="J907" s="153"/>
      <c r="K907" s="153"/>
      <c r="L907" s="153"/>
      <c r="M907" s="153"/>
      <c r="N907" s="155"/>
      <c r="O907" s="97">
        <f t="shared" si="76"/>
        <v>-46735.883912219128</v>
      </c>
    </row>
    <row r="908" spans="1:15" ht="15.95" customHeight="1" x14ac:dyDescent="0.25">
      <c r="A908" s="121"/>
      <c r="B908" s="699" t="s">
        <v>195</v>
      </c>
      <c r="C908" s="700"/>
      <c r="D908" s="700"/>
      <c r="E908" s="700"/>
      <c r="F908" s="700"/>
      <c r="G908" s="700"/>
      <c r="H908" s="700"/>
      <c r="I908" s="700"/>
      <c r="J908" s="700"/>
      <c r="K908" s="700"/>
      <c r="L908" s="700"/>
      <c r="M908" s="700"/>
      <c r="N908" s="701"/>
      <c r="O908" s="97">
        <f t="shared" si="76"/>
        <v>60793.578714821968</v>
      </c>
    </row>
    <row r="909" spans="1:15" ht="15.95" customHeight="1" x14ac:dyDescent="0.25">
      <c r="A909" s="121"/>
      <c r="B909" s="23"/>
      <c r="C909" s="24"/>
      <c r="D909" s="24"/>
      <c r="E909" s="24"/>
      <c r="F909" s="24"/>
      <c r="G909" s="90"/>
      <c r="H909" s="24"/>
      <c r="I909" s="24"/>
      <c r="J909" s="24"/>
      <c r="K909" s="24"/>
      <c r="L909" s="24"/>
      <c r="M909" s="24"/>
      <c r="N909" s="25"/>
      <c r="O909" s="97">
        <f t="shared" si="76"/>
        <v>164926.09292523292</v>
      </c>
    </row>
    <row r="910" spans="1:15" ht="15.95" customHeight="1" x14ac:dyDescent="0.25">
      <c r="A910" s="121"/>
      <c r="B910" s="23"/>
      <c r="C910" s="693" t="s">
        <v>234</v>
      </c>
      <c r="D910" s="694"/>
      <c r="E910" s="695"/>
      <c r="F910" s="24"/>
      <c r="G910" s="90"/>
      <c r="H910" s="24"/>
      <c r="I910" s="24"/>
      <c r="J910" s="24"/>
      <c r="K910" s="24"/>
      <c r="L910" s="24"/>
      <c r="M910" s="24"/>
      <c r="N910" s="25"/>
      <c r="O910" s="97">
        <f t="shared" si="76"/>
        <v>266128.99271901371</v>
      </c>
    </row>
    <row r="911" spans="1:15" ht="15.95" customHeight="1" x14ac:dyDescent="0.25">
      <c r="A911" s="121"/>
      <c r="B911" s="23"/>
      <c r="C911" s="24"/>
      <c r="D911" s="24"/>
      <c r="E911" s="24"/>
      <c r="F911" s="24"/>
      <c r="G911" s="90"/>
      <c r="H911" s="24"/>
      <c r="I911" s="24"/>
      <c r="J911" s="24"/>
      <c r="K911" s="24"/>
      <c r="L911" s="24"/>
      <c r="M911" s="24"/>
      <c r="N911" s="25"/>
    </row>
    <row r="912" spans="1:15" ht="15.95" customHeight="1" x14ac:dyDescent="0.25">
      <c r="A912" s="121"/>
      <c r="B912" s="23"/>
      <c r="C912" s="638" t="s">
        <v>37</v>
      </c>
      <c r="D912" s="639"/>
      <c r="E912" s="640"/>
      <c r="F912" s="31"/>
      <c r="G912" s="87"/>
      <c r="H912" s="641" t="s">
        <v>28</v>
      </c>
      <c r="I912" s="642"/>
      <c r="J912" s="39">
        <f>+$D$932-SUMIF($H$918:$H$936,"&lt;"&amp;$M$4,$K$918:$K$936)</f>
        <v>0</v>
      </c>
      <c r="K912" s="24"/>
      <c r="L912" s="24"/>
      <c r="M912" s="24"/>
      <c r="N912" s="25"/>
    </row>
    <row r="913" spans="1:14" ht="15.95" customHeight="1" x14ac:dyDescent="0.25">
      <c r="A913" s="121"/>
      <c r="B913" s="23"/>
      <c r="C913" s="58"/>
      <c r="D913" s="664"/>
      <c r="E913" s="665"/>
      <c r="F913" s="31"/>
      <c r="G913" s="87"/>
      <c r="H913" s="645" t="s">
        <v>29</v>
      </c>
      <c r="I913" s="646"/>
      <c r="J913" s="40">
        <f>+$D$931</f>
        <v>44669</v>
      </c>
      <c r="K913" s="24"/>
      <c r="L913" s="24"/>
      <c r="M913" s="24"/>
      <c r="N913" s="25"/>
    </row>
    <row r="914" spans="1:14" ht="15.95" customHeight="1" x14ac:dyDescent="0.25">
      <c r="A914" s="121"/>
      <c r="B914" s="23"/>
      <c r="C914" s="59" t="s">
        <v>25</v>
      </c>
      <c r="D914" s="681"/>
      <c r="E914" s="682"/>
      <c r="F914" s="31"/>
      <c r="G914" s="87"/>
      <c r="H914" s="649" t="s">
        <v>30</v>
      </c>
      <c r="I914" s="650"/>
      <c r="J914" s="42" t="str">
        <f t="array" ref="J914">+IF(H935&gt;=M4,MIN(IF($H$918:$H$936&gt;$M$4,$H$918:$H$936,"")),"vencida")</f>
        <v>vencida</v>
      </c>
      <c r="K914" s="24"/>
      <c r="L914" s="24"/>
      <c r="M914" s="24"/>
      <c r="N914" s="25"/>
    </row>
    <row r="915" spans="1:14" ht="15.95" customHeight="1" x14ac:dyDescent="0.25">
      <c r="A915" s="121"/>
      <c r="B915" s="23"/>
      <c r="C915" s="59" t="s">
        <v>6</v>
      </c>
      <c r="D915" s="681" t="s">
        <v>239</v>
      </c>
      <c r="E915" s="682"/>
      <c r="F915" s="31"/>
      <c r="G915" s="87"/>
      <c r="H915" s="24"/>
      <c r="I915" s="24"/>
      <c r="J915" s="24"/>
      <c r="K915" s="24"/>
      <c r="L915" s="24"/>
      <c r="M915" s="24"/>
      <c r="N915" s="25"/>
    </row>
    <row r="916" spans="1:14" ht="15.95" customHeight="1" x14ac:dyDescent="0.25">
      <c r="A916" s="121"/>
      <c r="B916" s="23"/>
      <c r="C916" s="59"/>
      <c r="D916" s="681" t="s">
        <v>17</v>
      </c>
      <c r="E916" s="682"/>
      <c r="F916" s="31"/>
      <c r="G916" s="87"/>
      <c r="H916" s="651" t="s">
        <v>41</v>
      </c>
      <c r="I916" s="652"/>
      <c r="J916" s="652"/>
      <c r="K916" s="652"/>
      <c r="L916" s="653"/>
      <c r="M916" s="24"/>
      <c r="N916" s="25"/>
    </row>
    <row r="917" spans="1:14" ht="15.95" customHeight="1" x14ac:dyDescent="0.25">
      <c r="A917" s="121"/>
      <c r="B917" s="23"/>
      <c r="C917" s="59"/>
      <c r="D917" s="681"/>
      <c r="E917" s="682"/>
      <c r="F917" s="31"/>
      <c r="G917" s="87"/>
      <c r="H917" s="126" t="s">
        <v>0</v>
      </c>
      <c r="I917" s="127" t="s">
        <v>2</v>
      </c>
      <c r="J917" s="127" t="s">
        <v>3</v>
      </c>
      <c r="K917" s="127" t="s">
        <v>4</v>
      </c>
      <c r="L917" s="128" t="s">
        <v>5</v>
      </c>
      <c r="M917" s="127" t="s">
        <v>44</v>
      </c>
      <c r="N917" s="25"/>
    </row>
    <row r="918" spans="1:14" ht="15.95" customHeight="1" x14ac:dyDescent="0.25">
      <c r="A918" s="121"/>
      <c r="B918" s="23"/>
      <c r="C918" s="59"/>
      <c r="D918" s="681"/>
      <c r="E918" s="682"/>
      <c r="F918" s="31"/>
      <c r="G918" s="87"/>
      <c r="H918" s="45"/>
      <c r="I918" s="46"/>
      <c r="J918" s="46"/>
      <c r="K918" s="46"/>
      <c r="L918" s="47"/>
      <c r="M918" s="23"/>
      <c r="N918" s="25"/>
    </row>
    <row r="919" spans="1:14" ht="15.95" customHeight="1" x14ac:dyDescent="0.25">
      <c r="A919" s="121"/>
      <c r="B919" s="23"/>
      <c r="C919" s="79" t="s">
        <v>38</v>
      </c>
      <c r="D919" s="130"/>
      <c r="E919" s="131"/>
      <c r="F919" s="31"/>
      <c r="G919" s="87"/>
      <c r="H919" s="48">
        <f>+$D$930</f>
        <v>43208</v>
      </c>
      <c r="I919" s="136"/>
      <c r="J919" s="49"/>
      <c r="K919" s="49"/>
      <c r="L919" s="50">
        <f>+D932</f>
        <v>450000</v>
      </c>
      <c r="M919" s="93">
        <f>-L919</f>
        <v>-450000</v>
      </c>
      <c r="N919" s="25"/>
    </row>
    <row r="920" spans="1:14" ht="15.95" customHeight="1" x14ac:dyDescent="0.25">
      <c r="A920" s="121"/>
      <c r="B920" s="23"/>
      <c r="C920" s="59"/>
      <c r="D920" s="132"/>
      <c r="E920" s="133"/>
      <c r="F920" s="31"/>
      <c r="G920" s="87"/>
      <c r="H920" s="51">
        <f>IF(DAY(H919)=DAY($H$919),IF(WEEKDAY(EDATE(H919,$D$933),3)&lt;5,EDATE(H919,$D$933),WORKDAY(EDATE(H919,$D$933),1)),IF(WEEKDAY(EDATE($H$919,$D$933*COUNT($H$919:H919)),3)&lt;5,EDATE($H$919,$D$933*COUNT($H$919:H919)),WORKDAY(EDATE($H$919,$D$933*COUNT($H$919:H919)),1)))</f>
        <v>43299</v>
      </c>
      <c r="I920" s="137" t="s">
        <v>7</v>
      </c>
      <c r="J920" s="52">
        <f t="shared" ref="J920:J935" si="77">+(($D$935/365)*(H920-H919))*L919</f>
        <v>8414.3835616438355</v>
      </c>
      <c r="K920" s="52">
        <f>+IF(OR(I920="A + C",I920="A"),$L$919*$D$936,0)</f>
        <v>0</v>
      </c>
      <c r="L920" s="53">
        <f t="shared" ref="L920:L935" si="78">+L919-K920</f>
        <v>450000</v>
      </c>
      <c r="M920" s="94">
        <f t="shared" ref="M920:M935" si="79">+J920+K920</f>
        <v>8414.3835616438355</v>
      </c>
      <c r="N920" s="25"/>
    </row>
    <row r="921" spans="1:14" ht="15.95" customHeight="1" x14ac:dyDescent="0.25">
      <c r="A921" s="121"/>
      <c r="B921" s="23"/>
      <c r="C921" s="60"/>
      <c r="D921" s="134"/>
      <c r="E921" s="135"/>
      <c r="F921" s="34"/>
      <c r="G921" s="88"/>
      <c r="H921" s="51">
        <f>IF(DAY(H920)=DAY($H$919),IF(WEEKDAY(EDATE(H920,$D$933),3)&lt;5,EDATE(H920,$D$933),WORKDAY(EDATE(H920,$D$933),1)),IF(WEEKDAY(EDATE($H$919,$D$933*COUNT($H$919:H920)),3)&lt;5,EDATE($H$919,$D$933*COUNT($H$919:H920)),WORKDAY(EDATE($H$919,$D$933*COUNT($H$919:H920)),1)))</f>
        <v>43391</v>
      </c>
      <c r="I921" s="137" t="s">
        <v>7</v>
      </c>
      <c r="J921" s="52">
        <f t="shared" si="77"/>
        <v>8506.8493150684935</v>
      </c>
      <c r="K921" s="52">
        <f>+IF(OR(I921="A + C",I921="A"),$D$932*$D$936,0)</f>
        <v>0</v>
      </c>
      <c r="L921" s="53">
        <f t="shared" si="78"/>
        <v>450000</v>
      </c>
      <c r="M921" s="94">
        <f t="shared" si="79"/>
        <v>8506.8493150684935</v>
      </c>
      <c r="N921" s="25"/>
    </row>
    <row r="922" spans="1:14" ht="15.95" customHeight="1" x14ac:dyDescent="0.25">
      <c r="A922" s="121"/>
      <c r="B922" s="23"/>
      <c r="C922" s="60"/>
      <c r="D922" s="55" t="str">
        <f>B908</f>
        <v>Esquina 3 I</v>
      </c>
      <c r="E922" s="64"/>
      <c r="F922" s="34"/>
      <c r="G922" s="88">
        <f>J912</f>
        <v>0</v>
      </c>
      <c r="H922" s="51">
        <f>IF(DAY(H921)=DAY($H$919),IF(WEEKDAY(EDATE(H921,$D$933),3)&lt;5,EDATE(H921,$D$933),WORKDAY(EDATE(H921,$D$933),1)),IF(WEEKDAY(EDATE($H$919,$D$933*COUNT($H$919:H921)),3)&lt;5,EDATE($H$919,$D$933*COUNT($H$919:H921)),WORKDAY(EDATE($H$919,$D$933*COUNT($H$919:H921)),1)))</f>
        <v>43483</v>
      </c>
      <c r="I922" s="137" t="s">
        <v>7</v>
      </c>
      <c r="J922" s="52">
        <f t="shared" si="77"/>
        <v>8506.8493150684935</v>
      </c>
      <c r="K922" s="52">
        <f>+IF(OR(I922="A + C",I922="A"),$D$932*$D$936,0)</f>
        <v>0</v>
      </c>
      <c r="L922" s="53">
        <f t="shared" si="78"/>
        <v>450000</v>
      </c>
      <c r="M922" s="94">
        <f t="shared" si="79"/>
        <v>8506.8493150684935</v>
      </c>
      <c r="N922" s="25"/>
    </row>
    <row r="923" spans="1:14" ht="15.95" customHeight="1" x14ac:dyDescent="0.25">
      <c r="A923" s="121"/>
      <c r="B923" s="32"/>
      <c r="D923" s="644"/>
      <c r="E923" s="660"/>
      <c r="F923" s="34"/>
      <c r="G923" s="88"/>
      <c r="H923" s="51">
        <f>IF(DAY(H922)=DAY($H$919),IF(WEEKDAY(EDATE(H922,$D$933),3)&lt;5,EDATE(H922,$D$933),WORKDAY(EDATE(H922,$D$933),1)),IF(WEEKDAY(EDATE($H$919,$D$933*COUNT($H$919:H922)),3)&lt;5,EDATE($H$919,$D$933*COUNT($H$919:H922)),WORKDAY(EDATE($H$919,$D$933*COUNT($H$919:H922)),1)))</f>
        <v>43573</v>
      </c>
      <c r="I923" s="137" t="s">
        <v>7</v>
      </c>
      <c r="J923" s="52">
        <f t="shared" si="77"/>
        <v>8321.9178082191775</v>
      </c>
      <c r="K923" s="52">
        <f>+IF(OR(I923="A + C",I923="A"),$D$932*$D$936,0)</f>
        <v>0</v>
      </c>
      <c r="L923" s="53">
        <f t="shared" si="78"/>
        <v>450000</v>
      </c>
      <c r="M923" s="94">
        <f t="shared" si="79"/>
        <v>8321.9178082191775</v>
      </c>
      <c r="N923" s="25"/>
    </row>
    <row r="924" spans="1:14" ht="15.95" customHeight="1" x14ac:dyDescent="0.25">
      <c r="A924" s="121"/>
      <c r="B924" s="23"/>
      <c r="C924" s="638" t="s">
        <v>36</v>
      </c>
      <c r="D924" s="640"/>
      <c r="E924" s="36"/>
      <c r="F924" s="34"/>
      <c r="G924" s="88"/>
      <c r="H924" s="51">
        <f>IF(DAY(H923)=DAY($H$919),IF(WEEKDAY(EDATE(H923,$D$933),3)&lt;5,EDATE(H923,$D$933),WORKDAY(EDATE(H923,$D$933),1)),IF(WEEKDAY(EDATE($H$919,$D$933*COUNT($H$919:H923)),3)&lt;5,EDATE($H$919,$D$933*COUNT($H$919:H923)),WORKDAY(EDATE($H$919,$D$933*COUNT($H$919:H923)),1)))</f>
        <v>43664</v>
      </c>
      <c r="I924" s="137" t="s">
        <v>7</v>
      </c>
      <c r="J924" s="52">
        <f t="shared" si="77"/>
        <v>8414.3835616438355</v>
      </c>
      <c r="K924" s="52">
        <f>+IF(OR(I924="A + C",I924="A"),$D$932*$D$936,0)</f>
        <v>0</v>
      </c>
      <c r="L924" s="53">
        <f t="shared" si="78"/>
        <v>450000</v>
      </c>
      <c r="M924" s="94">
        <f t="shared" si="79"/>
        <v>8414.3835616438355</v>
      </c>
      <c r="N924" s="25"/>
    </row>
    <row r="925" spans="1:14" ht="15.95" customHeight="1" x14ac:dyDescent="0.25">
      <c r="A925" s="121"/>
      <c r="B925" s="23"/>
      <c r="C925" s="59"/>
      <c r="D925" s="62"/>
      <c r="E925" s="36"/>
      <c r="F925" s="36"/>
      <c r="G925" s="89"/>
      <c r="H925" s="51">
        <f>IF(DAY(H924)=DAY($H$919),IF(WEEKDAY(EDATE(H924,$D$933),3)&lt;5,EDATE(H924,$D$933),WORKDAY(EDATE(H924,$D$933),1)),IF(WEEKDAY(EDATE($H$919,$D$933*COUNT($H$919:H924)),3)&lt;5,EDATE($H$919,$D$933*COUNT($H$919:H924)),WORKDAY(EDATE($H$919,$D$933*COUNT($H$919:H924)),1)))</f>
        <v>43756</v>
      </c>
      <c r="I925" s="137" t="s">
        <v>7</v>
      </c>
      <c r="J925" s="52">
        <f t="shared" si="77"/>
        <v>8506.8493150684935</v>
      </c>
      <c r="K925" s="52">
        <f>+IF(OR(I925="A + C",I925="A"),$D$932*$D$937,0)</f>
        <v>0</v>
      </c>
      <c r="L925" s="53">
        <f t="shared" si="78"/>
        <v>450000</v>
      </c>
      <c r="M925" s="94">
        <f t="shared" si="79"/>
        <v>8506.8493150684935</v>
      </c>
      <c r="N925" s="25"/>
    </row>
    <row r="926" spans="1:14" ht="15.95" customHeight="1" x14ac:dyDescent="0.25">
      <c r="A926" s="121"/>
      <c r="B926" s="23"/>
      <c r="C926" s="59" t="s">
        <v>9</v>
      </c>
      <c r="D926" s="129" t="s">
        <v>49</v>
      </c>
      <c r="E926" s="36"/>
      <c r="F926" s="36"/>
      <c r="G926" s="89"/>
      <c r="H926" s="51">
        <f>IF(DAY(H925)=DAY($H$919),IF(WEEKDAY(EDATE(H925,$D$933),3)&lt;5,EDATE(H925,$D$933),WORKDAY(EDATE(H925,$D$933),1)),IF(WEEKDAY(EDATE($H$919,$D$933*COUNT($H$919:H925)),3)&lt;5,EDATE($H$919,$D$933*COUNT($H$919:H925)),WORKDAY(EDATE($H$919,$D$933*COUNT($H$919:H925)),1)))</f>
        <v>43850</v>
      </c>
      <c r="I926" s="137" t="s">
        <v>7</v>
      </c>
      <c r="J926" s="52">
        <f t="shared" si="77"/>
        <v>8691.7808219178078</v>
      </c>
      <c r="K926" s="52">
        <f>+IF(OR(I926="A + C",I926="A"),$D$932*$D$937,0)</f>
        <v>0</v>
      </c>
      <c r="L926" s="53">
        <f t="shared" si="78"/>
        <v>450000</v>
      </c>
      <c r="M926" s="94">
        <f t="shared" si="79"/>
        <v>8691.7808219178078</v>
      </c>
      <c r="N926" s="25"/>
    </row>
    <row r="927" spans="1:14" ht="15.95" customHeight="1" x14ac:dyDescent="0.25">
      <c r="A927" s="121"/>
      <c r="B927" s="23"/>
      <c r="C927" s="59" t="s">
        <v>51</v>
      </c>
      <c r="D927" s="138" t="s">
        <v>49</v>
      </c>
      <c r="E927" s="36"/>
      <c r="F927" s="36"/>
      <c r="G927" s="89"/>
      <c r="H927" s="51">
        <f>IF(DAY(H926)=DAY($H$919),IF(WEEKDAY(EDATE(H926,$D$933),3)&lt;5,EDATE(H926,$D$933),WORKDAY(EDATE(H926,$D$933),1)),IF(WEEKDAY(EDATE($H$919,$D$933*COUNT($H$919:H926)),3)&lt;5,EDATE($H$919,$D$933*COUNT($H$919:H926)),WORKDAY(EDATE($H$919,$D$933*COUNT($H$919:H926)),1)))</f>
        <v>43941</v>
      </c>
      <c r="I927" s="137" t="s">
        <v>7</v>
      </c>
      <c r="J927" s="52">
        <f t="shared" si="77"/>
        <v>8414.3835616438355</v>
      </c>
      <c r="K927" s="52">
        <f t="shared" ref="K927:K935" si="80">+IF(OR(I927="A + C",I927="A"),$D$932*$D$936,0)</f>
        <v>0</v>
      </c>
      <c r="L927" s="53">
        <f t="shared" si="78"/>
        <v>450000</v>
      </c>
      <c r="M927" s="94">
        <f t="shared" si="79"/>
        <v>8414.3835616438355</v>
      </c>
      <c r="N927" s="25"/>
    </row>
    <row r="928" spans="1:14" ht="15.95" customHeight="1" x14ac:dyDescent="0.25">
      <c r="A928" s="121"/>
      <c r="B928" s="23"/>
      <c r="C928" s="59" t="s">
        <v>52</v>
      </c>
      <c r="D928" s="138" t="s">
        <v>49</v>
      </c>
      <c r="E928" s="36"/>
      <c r="F928" s="36"/>
      <c r="G928" s="89"/>
      <c r="H928" s="51">
        <f>IF(DAY(H927)=DAY($H$919),IF(WEEKDAY(EDATE(H927,$D$933),3)&lt;5,EDATE(H927,$D$933),WORKDAY(EDATE(H927,$D$933),1)),IF(WEEKDAY(EDATE($H$919,$D$933*COUNT($H$919:H927)),3)&lt;5,EDATE($H$919,$D$933*COUNT($H$919:H927)),WORKDAY(EDATE($H$919,$D$933*COUNT($H$919:H927)),1)))</f>
        <v>44032</v>
      </c>
      <c r="I928" s="137" t="s">
        <v>7</v>
      </c>
      <c r="J928" s="52">
        <f t="shared" si="77"/>
        <v>8414.3835616438355</v>
      </c>
      <c r="K928" s="52">
        <f t="shared" si="80"/>
        <v>0</v>
      </c>
      <c r="L928" s="53">
        <f t="shared" si="78"/>
        <v>450000</v>
      </c>
      <c r="M928" s="94">
        <f t="shared" si="79"/>
        <v>8414.3835616438355</v>
      </c>
      <c r="N928" s="25"/>
    </row>
    <row r="929" spans="1:15" ht="15.95" customHeight="1" x14ac:dyDescent="0.25">
      <c r="A929" s="121"/>
      <c r="B929" s="23"/>
      <c r="C929" s="59" t="s">
        <v>10</v>
      </c>
      <c r="D929" s="139">
        <v>43206</v>
      </c>
      <c r="E929" s="36"/>
      <c r="F929" s="36"/>
      <c r="G929" s="89"/>
      <c r="H929" s="51">
        <f>IF(DAY(H928)=DAY($H$919),IF(WEEKDAY(EDATE(H928,$D$933),3)&lt;5,EDATE(H928,$D$933),WORKDAY(EDATE(H928,$D$933),1)),IF(WEEKDAY(EDATE($H$919,$D$933*COUNT($H$919:H928)),3)&lt;5,EDATE($H$919,$D$933*COUNT($H$919:H928)),WORKDAY(EDATE($H$919,$D$933*COUNT($H$919:H928)),1)))</f>
        <v>44123</v>
      </c>
      <c r="I929" s="137" t="s">
        <v>7</v>
      </c>
      <c r="J929" s="52">
        <f t="shared" si="77"/>
        <v>8414.3835616438355</v>
      </c>
      <c r="K929" s="52">
        <f t="shared" si="80"/>
        <v>0</v>
      </c>
      <c r="L929" s="53">
        <f t="shared" si="78"/>
        <v>450000</v>
      </c>
      <c r="M929" s="94">
        <f t="shared" si="79"/>
        <v>8414.3835616438355</v>
      </c>
      <c r="N929" s="25"/>
    </row>
    <row r="930" spans="1:15" ht="15.95" customHeight="1" x14ac:dyDescent="0.25">
      <c r="A930" s="121"/>
      <c r="B930" s="23"/>
      <c r="C930" s="59" t="s">
        <v>11</v>
      </c>
      <c r="D930" s="139">
        <v>43208</v>
      </c>
      <c r="E930" s="41"/>
      <c r="F930" s="24"/>
      <c r="G930" s="90"/>
      <c r="H930" s="51">
        <f>IF(DAY(H929)=DAY($H$919),IF(WEEKDAY(EDATE(H929,$D$933),3)&lt;5,EDATE(H929,$D$933),WORKDAY(EDATE(H929,$D$933),1)),IF(WEEKDAY(EDATE($H$919,$D$933*COUNT($H$919:H929)),3)&lt;5,EDATE($H$919,$D$933*COUNT($H$919:H929)),WORKDAY(EDATE($H$919,$D$933*COUNT($H$919:H929)),1)))</f>
        <v>44214</v>
      </c>
      <c r="I930" s="137" t="s">
        <v>7</v>
      </c>
      <c r="J930" s="52">
        <f t="shared" si="77"/>
        <v>8414.3835616438355</v>
      </c>
      <c r="K930" s="52">
        <f t="shared" si="80"/>
        <v>0</v>
      </c>
      <c r="L930" s="53">
        <f t="shared" si="78"/>
        <v>450000</v>
      </c>
      <c r="M930" s="94">
        <f t="shared" si="79"/>
        <v>8414.3835616438355</v>
      </c>
      <c r="N930" s="25"/>
    </row>
    <row r="931" spans="1:15" ht="15.95" customHeight="1" x14ac:dyDescent="0.25">
      <c r="A931" s="121"/>
      <c r="B931" s="23"/>
      <c r="C931" s="59" t="s">
        <v>12</v>
      </c>
      <c r="D931" s="139">
        <v>44669</v>
      </c>
      <c r="E931" s="36"/>
      <c r="F931" s="24"/>
      <c r="G931" s="90"/>
      <c r="H931" s="51">
        <f>IF(DAY(H930)=DAY($H$919),IF(WEEKDAY(EDATE(H930,$D$933),3)&lt;5,EDATE(H930,$D$933),WORKDAY(EDATE(H930,$D$933),1)),IF(WEEKDAY(EDATE($H$919,$D$933*COUNT($H$919:H930)),3)&lt;5,EDATE($H$919,$D$933*COUNT($H$919:H930)),WORKDAY(EDATE($H$919,$D$933*COUNT($H$919:H930)),1)))</f>
        <v>44305</v>
      </c>
      <c r="I931" s="137" t="s">
        <v>7</v>
      </c>
      <c r="J931" s="52">
        <f t="shared" si="77"/>
        <v>8414.3835616438355</v>
      </c>
      <c r="K931" s="52">
        <f t="shared" si="80"/>
        <v>0</v>
      </c>
      <c r="L931" s="53">
        <f t="shared" si="78"/>
        <v>450000</v>
      </c>
      <c r="M931" s="94">
        <f t="shared" si="79"/>
        <v>8414.3835616438355</v>
      </c>
      <c r="N931" s="25"/>
    </row>
    <row r="932" spans="1:15" ht="20.100000000000001" customHeight="1" x14ac:dyDescent="0.25">
      <c r="A932" s="121"/>
      <c r="B932" s="23"/>
      <c r="C932" s="59" t="s">
        <v>27</v>
      </c>
      <c r="D932" s="140">
        <v>450000</v>
      </c>
      <c r="E932" s="43"/>
      <c r="F932" s="24"/>
      <c r="G932" s="90"/>
      <c r="H932" s="51">
        <f>IF(DAY(H931)=DAY($H$919),IF(WEEKDAY(EDATE(H931,$D$933),3)&lt;5,EDATE(H931,$D$933),WORKDAY(EDATE(H931,$D$933),1)),IF(WEEKDAY(EDATE($H$919,$D$933*COUNT($H$919:H931)),3)&lt;5,EDATE($H$919,$D$933*COUNT($H$919:H931)),WORKDAY(EDATE($H$919,$D$933*COUNT($H$919:H931)),1)))</f>
        <v>44396</v>
      </c>
      <c r="I932" s="137" t="s">
        <v>7</v>
      </c>
      <c r="J932" s="52">
        <f t="shared" si="77"/>
        <v>8414.3835616438355</v>
      </c>
      <c r="K932" s="52">
        <f t="shared" si="80"/>
        <v>0</v>
      </c>
      <c r="L932" s="53">
        <f t="shared" si="78"/>
        <v>450000</v>
      </c>
      <c r="M932" s="94">
        <f t="shared" si="79"/>
        <v>8414.3835616438355</v>
      </c>
      <c r="N932" s="25"/>
    </row>
    <row r="933" spans="1:15" ht="15.95" customHeight="1" x14ac:dyDescent="0.25">
      <c r="A933" s="121"/>
      <c r="B933" s="23"/>
      <c r="C933" s="59" t="s">
        <v>26</v>
      </c>
      <c r="D933" s="140">
        <v>3</v>
      </c>
      <c r="E933" s="43"/>
      <c r="F933" s="24"/>
      <c r="G933" s="90"/>
      <c r="H933" s="51">
        <f>IF(DAY(H932)=DAY($H$919),IF(WEEKDAY(EDATE(H932,$D$933),3)&lt;5,EDATE(H932,$D$933),WORKDAY(EDATE(H932,$D$933),1)),IF(WEEKDAY(EDATE($H$919,$D$933*COUNT($H$919:H932)),3)&lt;5,EDATE($H$919,$D$933*COUNT($H$919:H932)),WORKDAY(EDATE($H$919,$D$933*COUNT($H$919:H932)),1)))</f>
        <v>44487</v>
      </c>
      <c r="I933" s="137" t="s">
        <v>7</v>
      </c>
      <c r="J933" s="52">
        <f t="shared" si="77"/>
        <v>8414.3835616438355</v>
      </c>
      <c r="K933" s="52">
        <f t="shared" si="80"/>
        <v>0</v>
      </c>
      <c r="L933" s="53">
        <f t="shared" si="78"/>
        <v>450000</v>
      </c>
      <c r="M933" s="94">
        <f t="shared" si="79"/>
        <v>8414.3835616438355</v>
      </c>
      <c r="N933" s="25"/>
    </row>
    <row r="934" spans="1:15" ht="20.100000000000001" customHeight="1" x14ac:dyDescent="0.25">
      <c r="A934" s="121"/>
      <c r="B934" s="23"/>
      <c r="C934" s="59" t="s">
        <v>19</v>
      </c>
      <c r="D934" s="141" t="s">
        <v>50</v>
      </c>
      <c r="E934" s="43"/>
      <c r="F934" s="24"/>
      <c r="G934" s="90"/>
      <c r="H934" s="51">
        <f>IF(DAY(H933)=DAY($H$919),IF(WEEKDAY(EDATE(H933,$D$933),3)&lt;5,EDATE(H933,$D$933),WORKDAY(EDATE(H933,$D$933),1)),IF(WEEKDAY(EDATE($H$919,$D$933*COUNT($H$919:H933)),3)&lt;5,EDATE($H$919,$D$933*COUNT($H$919:H933)),WORKDAY(EDATE($H$919,$D$933*COUNT($H$919:H933)),1)))</f>
        <v>44579</v>
      </c>
      <c r="I934" s="137" t="s">
        <v>7</v>
      </c>
      <c r="J934" s="52">
        <f t="shared" si="77"/>
        <v>8506.8493150684935</v>
      </c>
      <c r="K934" s="52">
        <f t="shared" si="80"/>
        <v>0</v>
      </c>
      <c r="L934" s="53">
        <f t="shared" si="78"/>
        <v>450000</v>
      </c>
      <c r="M934" s="94">
        <f t="shared" si="79"/>
        <v>8506.8493150684935</v>
      </c>
      <c r="N934" s="25"/>
    </row>
    <row r="935" spans="1:15" ht="15.95" customHeight="1" x14ac:dyDescent="0.25">
      <c r="A935" s="121"/>
      <c r="B935" s="23"/>
      <c r="C935" s="59" t="s">
        <v>14</v>
      </c>
      <c r="D935" s="142">
        <v>7.4999999999999997E-2</v>
      </c>
      <c r="E935" s="44"/>
      <c r="F935" s="24"/>
      <c r="G935" s="90"/>
      <c r="H935" s="51">
        <f>IF(DAY(H934)=DAY($H$919),IF(WEEKDAY(EDATE(H934,$D$933),3)&lt;5,EDATE(H934,$D$933),WORKDAY(EDATE(H934,$D$933),1)),IF(WEEKDAY(EDATE($H$919,$D$933*COUNT($H$919:H934)),3)&lt;5,EDATE($H$919,$D$933*COUNT($H$919:H934)),WORKDAY(EDATE($H$919,$D$933*COUNT($H$919:H934)),1)))</f>
        <v>44669</v>
      </c>
      <c r="I935" s="137" t="s">
        <v>13</v>
      </c>
      <c r="J935" s="52">
        <f t="shared" si="77"/>
        <v>8321.9178082191775</v>
      </c>
      <c r="K935" s="52">
        <f t="shared" si="80"/>
        <v>450000</v>
      </c>
      <c r="L935" s="53">
        <f t="shared" si="78"/>
        <v>0</v>
      </c>
      <c r="M935" s="94">
        <f t="shared" si="79"/>
        <v>458321.91780821915</v>
      </c>
      <c r="N935" s="25"/>
    </row>
    <row r="936" spans="1:15" ht="15.95" customHeight="1" x14ac:dyDescent="0.25">
      <c r="A936" s="121"/>
      <c r="B936" s="23"/>
      <c r="C936" s="59" t="s">
        <v>55</v>
      </c>
      <c r="D936" s="143">
        <v>1</v>
      </c>
      <c r="E936" s="24"/>
      <c r="F936" s="24"/>
      <c r="G936" s="90"/>
      <c r="H936" s="54"/>
      <c r="I936" s="144"/>
      <c r="J936" s="55"/>
      <c r="K936" s="56"/>
      <c r="L936" s="57"/>
      <c r="M936" s="109"/>
      <c r="N936" s="25"/>
      <c r="O936" s="194" t="str">
        <f>+D1054</f>
        <v>ON Pyme CNV Garantizada</v>
      </c>
    </row>
    <row r="937" spans="1:15" ht="15.95" customHeight="1" x14ac:dyDescent="0.25">
      <c r="A937" s="121"/>
      <c r="B937" s="23"/>
      <c r="C937" s="63"/>
      <c r="D937" s="145"/>
      <c r="E937" s="24"/>
      <c r="F937" s="24"/>
      <c r="G937" s="90"/>
      <c r="H937" s="24"/>
      <c r="I937" s="24"/>
      <c r="J937" s="24"/>
      <c r="K937" s="24"/>
      <c r="L937" s="24"/>
      <c r="M937" s="24"/>
      <c r="N937" s="25"/>
    </row>
    <row r="938" spans="1:15" ht="15.95" customHeight="1" x14ac:dyDescent="0.25">
      <c r="A938" s="121"/>
      <c r="B938" s="23"/>
      <c r="C938" s="24"/>
      <c r="D938" s="24"/>
      <c r="E938" s="24"/>
      <c r="F938" s="24"/>
      <c r="G938" s="90"/>
      <c r="H938" s="680" t="s">
        <v>43</v>
      </c>
      <c r="I938" s="680"/>
      <c r="J938" s="92">
        <v>0</v>
      </c>
      <c r="K938" s="92"/>
      <c r="L938" s="24"/>
      <c r="M938" s="33"/>
      <c r="N938" s="25"/>
      <c r="O938" s="194" t="str">
        <f>+IF(J1052="vencida",IF(D1054='Reporte - Oscuro'!$C$40,'Reporte - Oscuro'!$C$40&amp;" vencida",IF(D1054='Reporte - Oscuro'!$C$41,'Reporte - Oscuro'!$C$41&amp;" vencida",IF(D1054='Reporte - Oscuro'!$C$42,'Reporte - Oscuro'!$C$42&amp;" vencida",'Reporte - Oscuro'!$C$43&amp;" vencida"))),D1054&amp;" vigente")</f>
        <v>ON Pyme CNV Garantizada vencida</v>
      </c>
    </row>
    <row r="939" spans="1:15" ht="15.95" customHeight="1" x14ac:dyDescent="0.25">
      <c r="A939" s="121"/>
      <c r="B939" s="23"/>
      <c r="C939" s="24"/>
      <c r="D939" s="24"/>
      <c r="E939" s="24"/>
      <c r="F939" s="24"/>
      <c r="G939" s="90"/>
      <c r="H939" s="657"/>
      <c r="I939" s="657"/>
      <c r="J939" s="392"/>
      <c r="K939" s="24"/>
      <c r="L939" s="33"/>
      <c r="M939" s="33"/>
      <c r="N939" s="25"/>
    </row>
    <row r="940" spans="1:15" ht="15.95" customHeight="1" x14ac:dyDescent="0.25">
      <c r="A940" s="121"/>
      <c r="B940" s="23"/>
      <c r="C940" s="24"/>
      <c r="D940" s="24"/>
      <c r="E940" s="24"/>
      <c r="F940" s="24"/>
      <c r="G940" s="90"/>
      <c r="H940" s="24"/>
      <c r="I940" s="24"/>
      <c r="J940" s="24"/>
      <c r="K940" s="24"/>
      <c r="L940" s="24"/>
      <c r="M940" s="24"/>
      <c r="N940" s="25"/>
    </row>
    <row r="941" spans="1:15" ht="15.95" customHeight="1" x14ac:dyDescent="0.25">
      <c r="A941" s="121"/>
      <c r="B941" s="23"/>
      <c r="C941" s="24"/>
      <c r="D941" s="24"/>
      <c r="E941" s="24"/>
      <c r="F941" s="24"/>
      <c r="G941" s="90"/>
      <c r="H941" s="638" t="s">
        <v>44</v>
      </c>
      <c r="I941" s="639"/>
      <c r="J941" s="639"/>
      <c r="K941" s="639"/>
      <c r="L941" s="639"/>
      <c r="M941" s="640"/>
      <c r="N941" s="25"/>
    </row>
    <row r="942" spans="1:15" ht="15.95" customHeight="1" x14ac:dyDescent="0.25">
      <c r="A942" s="121"/>
      <c r="B942" s="23"/>
      <c r="C942" s="24"/>
      <c r="D942" s="24"/>
      <c r="E942" s="24"/>
      <c r="F942" s="24"/>
      <c r="G942" s="90"/>
      <c r="H942" s="23"/>
      <c r="I942" s="24"/>
      <c r="J942" s="24"/>
      <c r="K942" s="24"/>
      <c r="L942" s="24"/>
      <c r="M942" s="25"/>
      <c r="N942" s="25"/>
    </row>
    <row r="943" spans="1:15" ht="15.95" customHeight="1" x14ac:dyDescent="0.25">
      <c r="A943" s="121"/>
      <c r="B943" s="23"/>
      <c r="C943" s="24"/>
      <c r="D943" s="24"/>
      <c r="E943" s="24"/>
      <c r="F943" s="24"/>
      <c r="G943" s="90"/>
      <c r="H943" s="23"/>
      <c r="I943" s="24"/>
      <c r="J943" s="24"/>
      <c r="K943" s="24"/>
      <c r="L943" s="24"/>
      <c r="M943" s="25"/>
      <c r="N943" s="25"/>
      <c r="O943" s="97">
        <f>+M1057</f>
        <v>-200000</v>
      </c>
    </row>
    <row r="944" spans="1:15" ht="15.95" customHeight="1" x14ac:dyDescent="0.25">
      <c r="A944" s="121"/>
      <c r="B944" s="23"/>
      <c r="C944" s="24"/>
      <c r="D944" s="24"/>
      <c r="E944" s="24"/>
      <c r="F944" s="24"/>
      <c r="G944" s="90"/>
      <c r="H944" s="96"/>
      <c r="I944" s="35"/>
      <c r="J944" s="24"/>
      <c r="K944" s="24"/>
      <c r="L944" s="24"/>
      <c r="M944" s="25"/>
      <c r="N944" s="25"/>
      <c r="O944" s="97">
        <f t="shared" ref="O944:O949" si="81">+M1058+O943</f>
        <v>-159660.82191780821</v>
      </c>
    </row>
    <row r="945" spans="1:15" ht="15.95" customHeight="1" x14ac:dyDescent="0.25">
      <c r="A945" s="121"/>
      <c r="B945" s="23"/>
      <c r="C945" s="24"/>
      <c r="D945" s="24"/>
      <c r="E945" s="24"/>
      <c r="F945" s="24"/>
      <c r="G945" s="90"/>
      <c r="H945" s="23"/>
      <c r="I945" s="24"/>
      <c r="J945" s="24"/>
      <c r="K945" s="24"/>
      <c r="L945" s="24"/>
      <c r="M945" s="25"/>
      <c r="N945" s="25"/>
      <c r="O945" s="97">
        <f t="shared" si="81"/>
        <v>-120523.00493150685</v>
      </c>
    </row>
    <row r="946" spans="1:15" ht="15.95" customHeight="1" x14ac:dyDescent="0.25">
      <c r="A946" s="121"/>
      <c r="B946" s="23"/>
      <c r="C946" s="24"/>
      <c r="D946" s="24"/>
      <c r="E946" s="24"/>
      <c r="F946" s="24"/>
      <c r="G946" s="90"/>
      <c r="H946" s="23"/>
      <c r="I946" s="24"/>
      <c r="J946" s="24"/>
      <c r="K946" s="24"/>
      <c r="L946" s="24"/>
      <c r="M946" s="25"/>
      <c r="N946" s="25"/>
      <c r="O946" s="97">
        <f t="shared" si="81"/>
        <v>-82471.465205479442</v>
      </c>
    </row>
    <row r="947" spans="1:15" ht="15.95" customHeight="1" x14ac:dyDescent="0.25">
      <c r="A947" s="121"/>
      <c r="B947" s="23"/>
      <c r="C947" s="24"/>
      <c r="D947" s="24"/>
      <c r="E947" s="24"/>
      <c r="F947" s="24"/>
      <c r="G947" s="90"/>
      <c r="H947" s="23"/>
      <c r="I947" s="24"/>
      <c r="J947" s="24"/>
      <c r="K947" s="24"/>
      <c r="L947" s="24"/>
      <c r="M947" s="25"/>
      <c r="N947" s="25"/>
      <c r="O947" s="97">
        <f t="shared" si="81"/>
        <v>-45659.658082191774</v>
      </c>
    </row>
    <row r="948" spans="1:15" ht="15.95" customHeight="1" x14ac:dyDescent="0.25">
      <c r="A948" s="121"/>
      <c r="B948" s="23"/>
      <c r="C948" s="24"/>
      <c r="D948" s="24"/>
      <c r="E948" s="24"/>
      <c r="F948" s="24"/>
      <c r="G948" s="90"/>
      <c r="H948" s="23"/>
      <c r="I948" s="24"/>
      <c r="J948" s="24"/>
      <c r="K948" s="24"/>
      <c r="L948" s="24"/>
      <c r="M948" s="25"/>
      <c r="N948" s="25"/>
      <c r="O948" s="97">
        <f t="shared" si="81"/>
        <v>-10010.855890410952</v>
      </c>
    </row>
    <row r="949" spans="1:15" ht="15.95" customHeight="1" x14ac:dyDescent="0.25">
      <c r="A949" s="121"/>
      <c r="B949" s="23"/>
      <c r="C949" s="24"/>
      <c r="D949" s="24"/>
      <c r="E949" s="24"/>
      <c r="F949" s="24"/>
      <c r="G949" s="90"/>
      <c r="H949" s="23"/>
      <c r="I949" s="24"/>
      <c r="J949" s="24"/>
      <c r="K949" s="24"/>
      <c r="L949" s="24"/>
      <c r="M949" s="25"/>
      <c r="N949" s="25"/>
      <c r="O949" s="97">
        <f t="shared" si="81"/>
        <v>24554.941369863023</v>
      </c>
    </row>
    <row r="950" spans="1:15" ht="15.95" customHeight="1" x14ac:dyDescent="0.25">
      <c r="A950" s="121"/>
      <c r="B950" s="23"/>
      <c r="C950" s="24"/>
      <c r="D950" s="24"/>
      <c r="E950" s="24"/>
      <c r="F950" s="24"/>
      <c r="G950" s="90"/>
      <c r="H950" s="23"/>
      <c r="I950" s="24"/>
      <c r="J950" s="24"/>
      <c r="K950" s="24"/>
      <c r="L950" s="24"/>
      <c r="M950" s="25"/>
      <c r="N950" s="25"/>
      <c r="O950" s="97"/>
    </row>
    <row r="951" spans="1:15" ht="15.95" customHeight="1" x14ac:dyDescent="0.25">
      <c r="A951" s="121"/>
      <c r="B951" s="23"/>
      <c r="C951" s="24"/>
      <c r="D951" s="24"/>
      <c r="E951" s="24"/>
      <c r="F951" s="24"/>
      <c r="G951" s="90"/>
      <c r="H951" s="23"/>
      <c r="I951" s="24"/>
      <c r="J951" s="24"/>
      <c r="K951" s="24"/>
      <c r="L951" s="24"/>
      <c r="M951" s="25"/>
      <c r="N951" s="25"/>
    </row>
    <row r="952" spans="1:15" ht="15.95" customHeight="1" x14ac:dyDescent="0.25">
      <c r="A952" s="121"/>
      <c r="B952" s="23"/>
      <c r="C952" s="24"/>
      <c r="D952" s="24"/>
      <c r="E952" s="24"/>
      <c r="F952" s="24"/>
      <c r="G952" s="90"/>
      <c r="H952" s="23"/>
      <c r="I952" s="24"/>
      <c r="J952" s="24"/>
      <c r="K952" s="24"/>
      <c r="L952" s="24"/>
      <c r="M952" s="25"/>
      <c r="N952" s="25"/>
    </row>
    <row r="953" spans="1:15" ht="15.95" customHeight="1" x14ac:dyDescent="0.25">
      <c r="A953" s="121"/>
      <c r="B953" s="23"/>
      <c r="C953" s="24"/>
      <c r="D953" s="24"/>
      <c r="E953" s="24"/>
      <c r="F953" s="24"/>
      <c r="G953" s="90"/>
      <c r="H953" s="26"/>
      <c r="I953" s="27"/>
      <c r="J953" s="27"/>
      <c r="K953" s="27"/>
      <c r="L953" s="27"/>
      <c r="M953" s="28"/>
      <c r="N953" s="25"/>
    </row>
    <row r="954" spans="1:15" ht="15.95" customHeight="1" x14ac:dyDescent="0.25">
      <c r="A954" s="121"/>
      <c r="B954" s="26"/>
      <c r="C954" s="85"/>
      <c r="D954" s="27"/>
      <c r="E954" s="27"/>
      <c r="F954" s="27"/>
      <c r="G954" s="91"/>
      <c r="H954" s="27"/>
      <c r="I954" s="27"/>
      <c r="J954" s="27"/>
      <c r="K954" s="27"/>
      <c r="L954" s="27"/>
      <c r="M954" s="27"/>
      <c r="N954" s="28"/>
    </row>
    <row r="955" spans="1:15" ht="15.95" customHeight="1" x14ac:dyDescent="0.25">
      <c r="A955" s="121"/>
      <c r="B955" s="23"/>
      <c r="C955" s="24"/>
      <c r="D955" s="24"/>
      <c r="E955" s="24"/>
      <c r="F955" s="24"/>
      <c r="G955" s="24"/>
      <c r="H955" s="24"/>
      <c r="I955" s="24"/>
      <c r="J955" s="24"/>
      <c r="K955" s="24"/>
      <c r="L955" s="24"/>
      <c r="M955" s="24"/>
      <c r="N955" s="25"/>
    </row>
    <row r="956" spans="1:15" ht="15.95" customHeight="1" x14ac:dyDescent="0.25">
      <c r="A956" s="121"/>
      <c r="B956" s="683" t="s">
        <v>215</v>
      </c>
      <c r="C956" s="684"/>
      <c r="D956" s="684"/>
      <c r="E956" s="684"/>
      <c r="F956" s="684"/>
      <c r="G956" s="684"/>
      <c r="H956" s="684"/>
      <c r="I956" s="684"/>
      <c r="J956" s="684"/>
      <c r="K956" s="684"/>
      <c r="L956" s="684"/>
      <c r="M956" s="684"/>
      <c r="N956" s="685"/>
    </row>
    <row r="957" spans="1:15" ht="15.95" customHeight="1" x14ac:dyDescent="0.25">
      <c r="A957" s="121"/>
      <c r="B957" s="23"/>
      <c r="C957" s="24"/>
      <c r="D957" s="24"/>
      <c r="E957" s="24"/>
      <c r="F957" s="31"/>
      <c r="G957" s="87"/>
      <c r="H957" s="31"/>
      <c r="I957" s="31"/>
      <c r="J957" s="24"/>
      <c r="K957" s="24"/>
      <c r="L957" s="24"/>
      <c r="M957" s="24"/>
      <c r="N957" s="25"/>
    </row>
    <row r="958" spans="1:15" ht="15.95" customHeight="1" x14ac:dyDescent="0.25">
      <c r="A958" s="121"/>
      <c r="B958" s="23"/>
      <c r="C958" s="638" t="s">
        <v>37</v>
      </c>
      <c r="D958" s="639"/>
      <c r="E958" s="640"/>
      <c r="F958" s="31"/>
      <c r="G958" s="87"/>
      <c r="H958" s="641" t="s">
        <v>28</v>
      </c>
      <c r="I958" s="642"/>
      <c r="J958" s="39">
        <v>0</v>
      </c>
      <c r="K958" s="24"/>
      <c r="L958" s="24"/>
      <c r="M958" s="24"/>
      <c r="N958" s="25"/>
    </row>
    <row r="959" spans="1:15" ht="15.95" customHeight="1" x14ac:dyDescent="0.25">
      <c r="A959" s="121"/>
      <c r="B959" s="23"/>
      <c r="C959" s="58"/>
      <c r="D959" s="664"/>
      <c r="E959" s="665"/>
      <c r="F959" s="31"/>
      <c r="G959" s="87"/>
      <c r="H959" s="645" t="s">
        <v>29</v>
      </c>
      <c r="I959" s="646"/>
      <c r="J959" s="40">
        <f>+$H$989</f>
        <v>44672</v>
      </c>
      <c r="K959" s="24"/>
      <c r="L959" s="24"/>
      <c r="M959" s="24"/>
      <c r="N959" s="25"/>
    </row>
    <row r="960" spans="1:15" ht="15.95" customHeight="1" x14ac:dyDescent="0.25">
      <c r="A960" s="121"/>
      <c r="B960" s="23"/>
      <c r="C960" s="59" t="s">
        <v>25</v>
      </c>
      <c r="D960" s="681"/>
      <c r="E960" s="682"/>
      <c r="F960" s="31"/>
      <c r="G960" s="87"/>
      <c r="H960" s="649" t="s">
        <v>30</v>
      </c>
      <c r="I960" s="650"/>
      <c r="J960" s="42" t="str">
        <f t="array" ref="J960">+IF(H989&gt;=M4,MIN(IF($H$965:$H$989&gt;$M$4,$H$965:$H$989,"")),"vencida")</f>
        <v>vencida</v>
      </c>
      <c r="K960" s="24"/>
      <c r="L960" s="24"/>
      <c r="M960" s="24"/>
      <c r="N960" s="25"/>
    </row>
    <row r="961" spans="1:15" ht="15.95" customHeight="1" x14ac:dyDescent="0.25">
      <c r="A961" s="121"/>
      <c r="B961" s="23"/>
      <c r="C961" s="59" t="s">
        <v>6</v>
      </c>
      <c r="D961" s="681" t="s">
        <v>240</v>
      </c>
      <c r="E961" s="682"/>
      <c r="F961" s="31"/>
      <c r="G961" s="87"/>
      <c r="H961" s="24"/>
      <c r="I961" s="24"/>
      <c r="J961" s="24"/>
      <c r="K961" s="24"/>
      <c r="L961" s="24"/>
      <c r="M961" s="24"/>
      <c r="N961" s="25"/>
    </row>
    <row r="962" spans="1:15" ht="15.95" customHeight="1" x14ac:dyDescent="0.25">
      <c r="A962" s="121"/>
      <c r="B962" s="23"/>
      <c r="C962" s="59" t="s">
        <v>8</v>
      </c>
      <c r="D962" s="681" t="s">
        <v>61</v>
      </c>
      <c r="E962" s="682"/>
      <c r="F962" s="31"/>
      <c r="G962" s="87"/>
      <c r="H962" s="651" t="s">
        <v>351</v>
      </c>
      <c r="I962" s="652"/>
      <c r="J962" s="652"/>
      <c r="K962" s="652"/>
      <c r="L962" s="653"/>
      <c r="M962" s="24"/>
      <c r="N962" s="25"/>
    </row>
    <row r="963" spans="1:15" ht="15.95" customHeight="1" x14ac:dyDescent="0.25">
      <c r="A963" s="121"/>
      <c r="B963" s="23"/>
      <c r="C963" s="59" t="s">
        <v>33</v>
      </c>
      <c r="D963" s="681"/>
      <c r="E963" s="682"/>
      <c r="F963" s="31"/>
      <c r="G963" s="87"/>
      <c r="H963" s="126" t="s">
        <v>0</v>
      </c>
      <c r="I963" s="127" t="s">
        <v>2</v>
      </c>
      <c r="J963" s="127" t="s">
        <v>3</v>
      </c>
      <c r="K963" s="127" t="s">
        <v>4</v>
      </c>
      <c r="L963" s="128" t="s">
        <v>5</v>
      </c>
      <c r="M963" s="127" t="s">
        <v>44</v>
      </c>
      <c r="N963" s="25"/>
    </row>
    <row r="964" spans="1:15" ht="15.95" customHeight="1" x14ac:dyDescent="0.25">
      <c r="A964" s="121"/>
      <c r="B964" s="23"/>
      <c r="C964" s="59" t="s">
        <v>34</v>
      </c>
      <c r="D964" s="681" t="s">
        <v>100</v>
      </c>
      <c r="E964" s="682"/>
      <c r="F964" s="31"/>
      <c r="G964" s="87"/>
      <c r="H964" s="45"/>
      <c r="I964" s="46"/>
      <c r="J964" s="46"/>
      <c r="K964" s="46"/>
      <c r="L964" s="47"/>
      <c r="M964" s="23"/>
      <c r="N964" s="25"/>
    </row>
    <row r="965" spans="1:15" ht="15.95" customHeight="1" x14ac:dyDescent="0.25">
      <c r="A965" s="121"/>
      <c r="B965" s="23"/>
      <c r="C965" s="79" t="s">
        <v>38</v>
      </c>
      <c r="D965" s="130"/>
      <c r="E965" s="131"/>
      <c r="F965" s="31"/>
      <c r="G965" s="87"/>
      <c r="H965" s="48">
        <v>43349</v>
      </c>
      <c r="I965" s="136"/>
      <c r="J965" s="49"/>
      <c r="K965" s="49"/>
      <c r="L965" s="50">
        <f>+D978</f>
        <v>1168335</v>
      </c>
      <c r="M965" s="93">
        <f>-L965</f>
        <v>-1168335</v>
      </c>
      <c r="N965" s="25"/>
    </row>
    <row r="966" spans="1:15" ht="15.95" customHeight="1" x14ac:dyDescent="0.25">
      <c r="A966" s="121"/>
      <c r="B966" s="23"/>
      <c r="C966" s="59"/>
      <c r="D966" s="132"/>
      <c r="E966" s="133"/>
      <c r="F966" s="31"/>
      <c r="G966" s="87"/>
      <c r="H966" s="51">
        <v>43440</v>
      </c>
      <c r="I966" s="137" t="s">
        <v>13</v>
      </c>
      <c r="J966" s="52">
        <f t="shared" ref="J966:J971" si="82">+(($D$981/365)*(H966-H965))*L965</f>
        <v>40779.692876712332</v>
      </c>
      <c r="K966" s="52">
        <f t="shared" ref="K966:K977" si="83">+IF(OR(I966="A + C",I966="A"),$L$1012*$D$983,0)</f>
        <v>97322.305500000002</v>
      </c>
      <c r="L966" s="53">
        <f t="shared" ref="L966:L989" si="84">+L965-K966</f>
        <v>1071012.6945</v>
      </c>
      <c r="M966" s="94">
        <f t="shared" ref="M966:M969" si="85">+J966+K966</f>
        <v>138101.99837671232</v>
      </c>
      <c r="N966" s="25"/>
    </row>
    <row r="967" spans="1:15" ht="15.95" customHeight="1" x14ac:dyDescent="0.25">
      <c r="A967" s="121"/>
      <c r="B967" s="23"/>
      <c r="C967" s="60"/>
      <c r="D967" s="134"/>
      <c r="E967" s="135"/>
      <c r="F967" s="34"/>
      <c r="G967" s="88"/>
      <c r="H967" s="51">
        <v>43530</v>
      </c>
      <c r="I967" s="137" t="s">
        <v>13</v>
      </c>
      <c r="J967" s="52">
        <f t="shared" si="82"/>
        <v>36971.945070410962</v>
      </c>
      <c r="K967" s="52">
        <f t="shared" si="83"/>
        <v>97322.305500000002</v>
      </c>
      <c r="L967" s="53">
        <f t="shared" si="84"/>
        <v>973690.38899999997</v>
      </c>
      <c r="M967" s="94">
        <f t="shared" si="85"/>
        <v>134294.25057041098</v>
      </c>
      <c r="N967" s="25"/>
    </row>
    <row r="968" spans="1:15" ht="15.95" customHeight="1" x14ac:dyDescent="0.25">
      <c r="A968" s="121"/>
      <c r="B968" s="23"/>
      <c r="C968" s="60"/>
      <c r="D968" s="55" t="str">
        <f>B956</f>
        <v>Euro III</v>
      </c>
      <c r="E968" s="64"/>
      <c r="F968" s="34"/>
      <c r="G968" s="88">
        <f>J958</f>
        <v>0</v>
      </c>
      <c r="H968" s="51">
        <v>43622</v>
      </c>
      <c r="I968" s="137" t="s">
        <v>13</v>
      </c>
      <c r="J968" s="52">
        <f t="shared" si="82"/>
        <v>34359.26632964384</v>
      </c>
      <c r="K968" s="52">
        <f t="shared" si="83"/>
        <v>97322.305500000002</v>
      </c>
      <c r="L968" s="53">
        <f t="shared" si="84"/>
        <v>876368.08349999995</v>
      </c>
      <c r="M968" s="94">
        <f t="shared" si="85"/>
        <v>131681.57182964386</v>
      </c>
      <c r="N968" s="25"/>
    </row>
    <row r="969" spans="1:15" ht="15.95" customHeight="1" x14ac:dyDescent="0.25">
      <c r="A969" s="121"/>
      <c r="B969" s="32"/>
      <c r="C969" s="24"/>
      <c r="D969" s="671"/>
      <c r="E969" s="671"/>
      <c r="F969" s="34"/>
      <c r="G969" s="88"/>
      <c r="H969" s="51">
        <v>43714</v>
      </c>
      <c r="I969" s="137" t="s">
        <v>13</v>
      </c>
      <c r="J969" s="52">
        <f t="shared" si="82"/>
        <v>30924.98880953425</v>
      </c>
      <c r="K969" s="52">
        <f t="shared" si="83"/>
        <v>97322.305500000002</v>
      </c>
      <c r="L969" s="53">
        <f t="shared" si="84"/>
        <v>779045.77799999993</v>
      </c>
      <c r="M969" s="94">
        <f t="shared" si="85"/>
        <v>128247.29430953425</v>
      </c>
      <c r="N969" s="25"/>
    </row>
    <row r="970" spans="1:15" ht="15.95" customHeight="1" x14ac:dyDescent="0.25">
      <c r="A970" s="121"/>
      <c r="B970" s="32"/>
      <c r="C970" s="638" t="s">
        <v>36</v>
      </c>
      <c r="D970" s="640"/>
      <c r="E970" s="272"/>
      <c r="F970" s="34"/>
      <c r="G970" s="88"/>
      <c r="H970" s="51">
        <v>43805</v>
      </c>
      <c r="I970" s="137" t="s">
        <v>13</v>
      </c>
      <c r="J970" s="52">
        <f t="shared" si="82"/>
        <v>27191.899210191779</v>
      </c>
      <c r="K970" s="52">
        <f t="shared" si="83"/>
        <v>97322.305500000002</v>
      </c>
      <c r="L970" s="53">
        <f t="shared" si="84"/>
        <v>681723.47249999992</v>
      </c>
      <c r="M970" s="94">
        <f t="shared" ref="M970:M975" si="86">+J970+K970</f>
        <v>124514.20471019179</v>
      </c>
      <c r="N970" s="25"/>
    </row>
    <row r="971" spans="1:15" ht="20.100000000000001" customHeight="1" x14ac:dyDescent="0.25">
      <c r="A971" s="121"/>
      <c r="B971" s="32"/>
      <c r="C971" s="59"/>
      <c r="D971" s="62"/>
      <c r="E971" s="272"/>
      <c r="F971" s="34"/>
      <c r="G971" s="88"/>
      <c r="H971" s="51">
        <v>43896</v>
      </c>
      <c r="I971" s="137" t="s">
        <v>13</v>
      </c>
      <c r="J971" s="52">
        <f t="shared" si="82"/>
        <v>23794.950793561642</v>
      </c>
      <c r="K971" s="52">
        <f t="shared" si="83"/>
        <v>97322.305500000002</v>
      </c>
      <c r="L971" s="53">
        <v>640923.29</v>
      </c>
      <c r="M971" s="94">
        <f t="shared" si="86"/>
        <v>121117.25629356164</v>
      </c>
      <c r="N971" s="25"/>
    </row>
    <row r="972" spans="1:15" ht="15.95" customHeight="1" x14ac:dyDescent="0.25">
      <c r="A972" s="121"/>
      <c r="B972" s="32"/>
      <c r="C972" s="59" t="s">
        <v>9</v>
      </c>
      <c r="D972" s="129" t="s">
        <v>49</v>
      </c>
      <c r="E972" s="272"/>
      <c r="F972" s="34"/>
      <c r="G972" s="88"/>
      <c r="H972" s="51">
        <v>44154</v>
      </c>
      <c r="I972" s="137" t="s">
        <v>7</v>
      </c>
      <c r="J972" s="52">
        <f>+(($D$982/365)*(H972-R857))*L971</f>
        <v>8147.6275769863023</v>
      </c>
      <c r="K972" s="52">
        <f t="shared" si="83"/>
        <v>0</v>
      </c>
      <c r="L972" s="53">
        <f t="shared" si="84"/>
        <v>640923.29</v>
      </c>
      <c r="M972" s="94">
        <f t="shared" si="86"/>
        <v>8147.6275769863023</v>
      </c>
      <c r="N972" s="25"/>
    </row>
    <row r="973" spans="1:15" ht="20.100000000000001" customHeight="1" x14ac:dyDescent="0.25">
      <c r="A973" s="121"/>
      <c r="B973" s="32"/>
      <c r="C973" s="59" t="s">
        <v>51</v>
      </c>
      <c r="D973" s="138" t="s">
        <v>18</v>
      </c>
      <c r="E973" s="272"/>
      <c r="F973" s="34"/>
      <c r="G973" s="88"/>
      <c r="H973" s="51">
        <v>44185</v>
      </c>
      <c r="I973" s="137" t="s">
        <v>7</v>
      </c>
      <c r="J973" s="52">
        <f t="shared" ref="J973:J989" si="87">+(($D$982/365)*(H973-H972))*L972</f>
        <v>8709.5329271232877</v>
      </c>
      <c r="K973" s="52">
        <f t="shared" si="83"/>
        <v>0</v>
      </c>
      <c r="L973" s="53">
        <f t="shared" si="84"/>
        <v>640923.29</v>
      </c>
      <c r="M973" s="94">
        <f t="shared" si="86"/>
        <v>8709.5329271232877</v>
      </c>
      <c r="N973" s="25"/>
    </row>
    <row r="974" spans="1:15" ht="15.95" customHeight="1" x14ac:dyDescent="0.25">
      <c r="A974" s="121"/>
      <c r="B974" s="32"/>
      <c r="C974" s="59" t="s">
        <v>52</v>
      </c>
      <c r="D974" s="138" t="s">
        <v>18</v>
      </c>
      <c r="E974" s="272"/>
      <c r="F974" s="34"/>
      <c r="G974" s="88"/>
      <c r="H974" s="51">
        <v>44215</v>
      </c>
      <c r="I974" s="137" t="s">
        <v>7</v>
      </c>
      <c r="J974" s="52">
        <f t="shared" si="87"/>
        <v>8428.580252054795</v>
      </c>
      <c r="K974" s="52">
        <f t="shared" si="83"/>
        <v>0</v>
      </c>
      <c r="L974" s="53">
        <f t="shared" si="84"/>
        <v>640923.29</v>
      </c>
      <c r="M974" s="94">
        <f t="shared" si="86"/>
        <v>8428.580252054795</v>
      </c>
      <c r="N974" s="25"/>
    </row>
    <row r="975" spans="1:15" ht="15.95" customHeight="1" x14ac:dyDescent="0.25">
      <c r="A975" s="121"/>
      <c r="B975" s="32"/>
      <c r="C975" s="59" t="s">
        <v>10</v>
      </c>
      <c r="D975" s="139">
        <v>43317</v>
      </c>
      <c r="E975" s="272"/>
      <c r="F975" s="34"/>
      <c r="G975" s="88"/>
      <c r="H975" s="51">
        <v>44245</v>
      </c>
      <c r="I975" s="137" t="s">
        <v>7</v>
      </c>
      <c r="J975" s="52">
        <f t="shared" si="87"/>
        <v>8428.580252054795</v>
      </c>
      <c r="K975" s="52">
        <f t="shared" si="83"/>
        <v>0</v>
      </c>
      <c r="L975" s="53">
        <f t="shared" si="84"/>
        <v>640923.29</v>
      </c>
      <c r="M975" s="94">
        <f t="shared" si="86"/>
        <v>8428.580252054795</v>
      </c>
      <c r="N975" s="25"/>
      <c r="O975" s="194" t="str">
        <f>+D1091</f>
        <v>ON Pyme CNV Garantizada</v>
      </c>
    </row>
    <row r="976" spans="1:15" ht="15.95" customHeight="1" x14ac:dyDescent="0.25">
      <c r="A976" s="121"/>
      <c r="B976" s="32"/>
      <c r="C976" s="59" t="s">
        <v>11</v>
      </c>
      <c r="D976" s="139">
        <v>43319</v>
      </c>
      <c r="E976" s="272"/>
      <c r="F976" s="272"/>
      <c r="G976" s="88"/>
      <c r="H976" s="51">
        <v>44276</v>
      </c>
      <c r="I976" s="137" t="s">
        <v>7</v>
      </c>
      <c r="J976" s="52">
        <f t="shared" si="87"/>
        <v>8709.5329271232877</v>
      </c>
      <c r="K976" s="52">
        <f t="shared" si="83"/>
        <v>0</v>
      </c>
      <c r="L976" s="53">
        <f t="shared" si="84"/>
        <v>640923.29</v>
      </c>
      <c r="M976" s="94">
        <f t="shared" ref="M976:M987" si="88">+J976+K976</f>
        <v>8709.5329271232877</v>
      </c>
      <c r="N976" s="25"/>
    </row>
    <row r="977" spans="1:15" ht="15.95" customHeight="1" x14ac:dyDescent="0.25">
      <c r="A977" s="121"/>
      <c r="B977" s="32"/>
      <c r="C977" s="59" t="s">
        <v>12</v>
      </c>
      <c r="D977" s="139">
        <v>44445</v>
      </c>
      <c r="E977" s="272"/>
      <c r="F977" s="34"/>
      <c r="G977" s="88"/>
      <c r="H977" s="51">
        <v>44306</v>
      </c>
      <c r="I977" s="137" t="s">
        <v>7</v>
      </c>
      <c r="J977" s="52">
        <f t="shared" si="87"/>
        <v>8428.580252054795</v>
      </c>
      <c r="K977" s="52">
        <f t="shared" si="83"/>
        <v>0</v>
      </c>
      <c r="L977" s="53">
        <f t="shared" si="84"/>
        <v>640923.29</v>
      </c>
      <c r="M977" s="94">
        <f t="shared" si="88"/>
        <v>8428.580252054795</v>
      </c>
      <c r="N977" s="25"/>
      <c r="O977" s="194" t="str">
        <f>+IF(J1089="vencida",IF(D1091='Reporte - Oscuro'!$C$40,'Reporte - Oscuro'!$C$40&amp;" vencida",IF(D1091='Reporte - Oscuro'!$C$41,'Reporte - Oscuro'!$C$41&amp;" vencida",IF(D1091='Reporte - Oscuro'!$C$42,'Reporte - Oscuro'!$C$42&amp;" vencida",'Reporte - Oscuro'!$C$43&amp;" vencida"))),D1091&amp;" vigente")</f>
        <v>ON Pyme CNV Garantizada vencida</v>
      </c>
    </row>
    <row r="978" spans="1:15" ht="15.95" customHeight="1" x14ac:dyDescent="0.25">
      <c r="A978" s="121"/>
      <c r="B978" s="32"/>
      <c r="C978" s="59" t="s">
        <v>27</v>
      </c>
      <c r="D978" s="140">
        <v>1168335</v>
      </c>
      <c r="E978" s="272"/>
      <c r="F978" s="34"/>
      <c r="G978" s="88"/>
      <c r="H978" s="51">
        <v>44336</v>
      </c>
      <c r="I978" s="137" t="s">
        <v>13</v>
      </c>
      <c r="J978" s="52">
        <f t="shared" si="87"/>
        <v>8428.580252054795</v>
      </c>
      <c r="K978" s="52">
        <f>+IF(OR(I978="A + C",I978="A"),53410.27,0)</f>
        <v>53410.27</v>
      </c>
      <c r="L978" s="53">
        <f t="shared" si="84"/>
        <v>587513.02</v>
      </c>
      <c r="M978" s="94">
        <f>+J978+K978</f>
        <v>61838.850252054792</v>
      </c>
      <c r="N978" s="25"/>
    </row>
    <row r="979" spans="1:15" ht="15.95" customHeight="1" x14ac:dyDescent="0.25">
      <c r="A979" s="121"/>
      <c r="B979" s="32"/>
      <c r="C979" s="59" t="s">
        <v>26</v>
      </c>
      <c r="D979" s="140">
        <v>3</v>
      </c>
      <c r="E979" s="272"/>
      <c r="F979" s="34"/>
      <c r="G979" s="88"/>
      <c r="H979" s="51">
        <v>44367</v>
      </c>
      <c r="I979" s="137" t="s">
        <v>13</v>
      </c>
      <c r="J979" s="52">
        <f t="shared" si="87"/>
        <v>7983.7385731506856</v>
      </c>
      <c r="K979" s="52">
        <f t="shared" ref="K979:K989" si="89">+IF(OR(I979="A + C",I979="A"),53410.27,0)</f>
        <v>53410.27</v>
      </c>
      <c r="L979" s="53">
        <f t="shared" si="84"/>
        <v>534102.75</v>
      </c>
      <c r="M979" s="94">
        <f t="shared" si="88"/>
        <v>61394.008573150684</v>
      </c>
      <c r="N979" s="25"/>
    </row>
    <row r="980" spans="1:15" ht="15.95" customHeight="1" x14ac:dyDescent="0.25">
      <c r="A980" s="121"/>
      <c r="B980" s="32"/>
      <c r="C980" s="59" t="s">
        <v>19</v>
      </c>
      <c r="D980" s="141" t="s">
        <v>50</v>
      </c>
      <c r="E980" s="272"/>
      <c r="F980" s="34"/>
      <c r="G980" s="88"/>
      <c r="H980" s="51">
        <v>44397</v>
      </c>
      <c r="I980" s="137" t="s">
        <v>13</v>
      </c>
      <c r="J980" s="52">
        <f t="shared" si="87"/>
        <v>7023.81698630137</v>
      </c>
      <c r="K980" s="52">
        <f t="shared" si="89"/>
        <v>53410.27</v>
      </c>
      <c r="L980" s="53">
        <f t="shared" si="84"/>
        <v>480692.47999999998</v>
      </c>
      <c r="M980" s="94">
        <f t="shared" si="88"/>
        <v>60434.086986301365</v>
      </c>
      <c r="N980" s="25"/>
    </row>
    <row r="981" spans="1:15" ht="15.95" customHeight="1" x14ac:dyDescent="0.25">
      <c r="A981" s="121"/>
      <c r="B981" s="32"/>
      <c r="C981" s="59" t="s">
        <v>14</v>
      </c>
      <c r="D981" s="142">
        <v>0.14000000000000001</v>
      </c>
      <c r="E981" s="272"/>
      <c r="F981" s="34"/>
      <c r="G981" s="88"/>
      <c r="H981" s="51">
        <v>44427</v>
      </c>
      <c r="I981" s="137" t="s">
        <v>13</v>
      </c>
      <c r="J981" s="52">
        <f t="shared" si="87"/>
        <v>6321.4353534246575</v>
      </c>
      <c r="K981" s="52">
        <f t="shared" si="89"/>
        <v>53410.27</v>
      </c>
      <c r="L981" s="53">
        <f t="shared" si="84"/>
        <v>427282.20999999996</v>
      </c>
      <c r="M981" s="94">
        <f t="shared" si="88"/>
        <v>59731.705353424652</v>
      </c>
      <c r="N981" s="25"/>
    </row>
    <row r="982" spans="1:15" ht="15.95" customHeight="1" x14ac:dyDescent="0.25">
      <c r="A982" s="121"/>
      <c r="B982" s="32"/>
      <c r="C982" s="59" t="s">
        <v>14</v>
      </c>
      <c r="D982" s="142">
        <v>0.16</v>
      </c>
      <c r="E982" s="272"/>
      <c r="F982" s="34"/>
      <c r="G982" s="88"/>
      <c r="H982" s="51">
        <v>44459</v>
      </c>
      <c r="I982" s="137" t="s">
        <v>13</v>
      </c>
      <c r="J982" s="52">
        <f t="shared" si="87"/>
        <v>5993.6573019178077</v>
      </c>
      <c r="K982" s="52">
        <f t="shared" si="89"/>
        <v>53410.27</v>
      </c>
      <c r="L982" s="53">
        <f t="shared" si="84"/>
        <v>373871.93999999994</v>
      </c>
      <c r="M982" s="94">
        <f>+J982+K982</f>
        <v>59403.927301917807</v>
      </c>
      <c r="N982" s="25"/>
      <c r="O982" s="97">
        <f>+M1094</f>
        <v>-500000</v>
      </c>
    </row>
    <row r="983" spans="1:15" ht="15.95" customHeight="1" x14ac:dyDescent="0.25">
      <c r="A983" s="121"/>
      <c r="B983" s="32"/>
      <c r="C983" s="59" t="s">
        <v>93</v>
      </c>
      <c r="D983" s="142">
        <v>8.3299999999999999E-2</v>
      </c>
      <c r="E983" s="272"/>
      <c r="F983" s="34"/>
      <c r="G983" s="88"/>
      <c r="H983" s="51">
        <v>44489</v>
      </c>
      <c r="I983" s="137" t="s">
        <v>13</v>
      </c>
      <c r="J983" s="52">
        <f t="shared" si="87"/>
        <v>4916.6720876712325</v>
      </c>
      <c r="K983" s="52">
        <f t="shared" si="89"/>
        <v>53410.27</v>
      </c>
      <c r="L983" s="53">
        <f t="shared" si="84"/>
        <v>320461.66999999993</v>
      </c>
      <c r="M983" s="94">
        <f t="shared" si="88"/>
        <v>58326.942087671232</v>
      </c>
      <c r="N983" s="25"/>
      <c r="O983" s="97">
        <f t="shared" ref="O983:O994" si="90">+M1095+O982</f>
        <v>-486136.98630136985</v>
      </c>
    </row>
    <row r="984" spans="1:15" ht="15.95" customHeight="1" x14ac:dyDescent="0.25">
      <c r="A984" s="121"/>
      <c r="B984" s="32"/>
      <c r="C984" s="60" t="s">
        <v>55</v>
      </c>
      <c r="D984" s="407">
        <v>8.3699999999999997E-2</v>
      </c>
      <c r="E984" s="272"/>
      <c r="F984" s="34"/>
      <c r="G984" s="88"/>
      <c r="H984" s="51">
        <v>44521</v>
      </c>
      <c r="I984" s="137" t="s">
        <v>13</v>
      </c>
      <c r="J984" s="52">
        <f t="shared" si="87"/>
        <v>4495.2431517808209</v>
      </c>
      <c r="K984" s="52">
        <f t="shared" si="89"/>
        <v>53410.27</v>
      </c>
      <c r="L984" s="53">
        <f t="shared" si="84"/>
        <v>267051.39999999991</v>
      </c>
      <c r="M984" s="94">
        <f t="shared" si="88"/>
        <v>57905.513151780819</v>
      </c>
      <c r="N984" s="25"/>
      <c r="O984" s="97">
        <f t="shared" si="90"/>
        <v>-471972.60273972602</v>
      </c>
    </row>
    <row r="985" spans="1:15" ht="15.95" customHeight="1" x14ac:dyDescent="0.25">
      <c r="A985" s="121"/>
      <c r="B985" s="32"/>
      <c r="C985" s="24"/>
      <c r="D985" s="272"/>
      <c r="E985" s="272"/>
      <c r="F985" s="34"/>
      <c r="G985" s="88"/>
      <c r="H985" s="51">
        <v>44551</v>
      </c>
      <c r="I985" s="137" t="s">
        <v>13</v>
      </c>
      <c r="J985" s="52">
        <f t="shared" si="87"/>
        <v>3511.908821917807</v>
      </c>
      <c r="K985" s="52">
        <f t="shared" si="89"/>
        <v>53410.27</v>
      </c>
      <c r="L985" s="53">
        <f t="shared" si="84"/>
        <v>213641.12999999992</v>
      </c>
      <c r="M985" s="94">
        <f t="shared" si="88"/>
        <v>56922.178821917805</v>
      </c>
      <c r="N985" s="25"/>
      <c r="O985" s="97">
        <f t="shared" si="90"/>
        <v>-408260.27397260274</v>
      </c>
    </row>
    <row r="986" spans="1:15" ht="15.95" customHeight="1" x14ac:dyDescent="0.25">
      <c r="A986" s="121"/>
      <c r="B986" s="32"/>
      <c r="C986" s="24"/>
      <c r="D986" s="272"/>
      <c r="E986" s="272"/>
      <c r="F986" s="34"/>
      <c r="G986" s="88"/>
      <c r="H986" s="51">
        <v>44581</v>
      </c>
      <c r="I986" s="137" t="s">
        <v>13</v>
      </c>
      <c r="J986" s="52">
        <f t="shared" si="87"/>
        <v>2809.527189041095</v>
      </c>
      <c r="K986" s="52">
        <f t="shared" si="89"/>
        <v>53410.27</v>
      </c>
      <c r="L986" s="53">
        <f t="shared" si="84"/>
        <v>160230.85999999993</v>
      </c>
      <c r="M986" s="94">
        <f>+J986+K986</f>
        <v>56219.797189041092</v>
      </c>
      <c r="N986" s="25"/>
      <c r="O986" s="97">
        <f t="shared" si="90"/>
        <v>-345919.17808219179</v>
      </c>
    </row>
    <row r="987" spans="1:15" ht="15.95" customHeight="1" x14ac:dyDescent="0.25">
      <c r="A987" s="121"/>
      <c r="B987" s="32"/>
      <c r="C987" s="24"/>
      <c r="D987" s="272"/>
      <c r="E987" s="272"/>
      <c r="F987" s="34"/>
      <c r="G987" s="88"/>
      <c r="H987" s="51">
        <v>44612</v>
      </c>
      <c r="I987" s="137" t="s">
        <v>13</v>
      </c>
      <c r="J987" s="52">
        <f t="shared" si="87"/>
        <v>2177.383741369862</v>
      </c>
      <c r="K987" s="52">
        <f t="shared" si="89"/>
        <v>53410.27</v>
      </c>
      <c r="L987" s="53">
        <f t="shared" si="84"/>
        <v>106820.58999999994</v>
      </c>
      <c r="M987" s="94">
        <f t="shared" si="88"/>
        <v>55587.653741369861</v>
      </c>
      <c r="N987" s="25"/>
      <c r="O987" s="97">
        <f t="shared" si="90"/>
        <v>-284949.31506849313</v>
      </c>
    </row>
    <row r="988" spans="1:15" ht="15.95" customHeight="1" x14ac:dyDescent="0.25">
      <c r="A988" s="121"/>
      <c r="B988" s="32"/>
      <c r="C988" s="24"/>
      <c r="D988" s="272"/>
      <c r="E988" s="272"/>
      <c r="F988" s="34"/>
      <c r="G988" s="88"/>
      <c r="H988" s="51">
        <v>44642</v>
      </c>
      <c r="I988" s="137" t="s">
        <v>13</v>
      </c>
      <c r="J988" s="52">
        <f t="shared" si="87"/>
        <v>1404.7639232876704</v>
      </c>
      <c r="K988" s="52">
        <f t="shared" si="89"/>
        <v>53410.27</v>
      </c>
      <c r="L988" s="53">
        <f t="shared" si="84"/>
        <v>53410.319999999942</v>
      </c>
      <c r="M988" s="94">
        <f>+J988+K988</f>
        <v>54815.033923287665</v>
      </c>
      <c r="N988" s="25"/>
      <c r="O988" s="97">
        <f t="shared" si="90"/>
        <v>-225350.68493150684</v>
      </c>
    </row>
    <row r="989" spans="1:15" ht="15.95" customHeight="1" x14ac:dyDescent="0.25">
      <c r="A989" s="121"/>
      <c r="B989" s="23"/>
      <c r="C989" s="24"/>
      <c r="D989" s="272"/>
      <c r="E989" s="272"/>
      <c r="F989" s="34"/>
      <c r="G989" s="88"/>
      <c r="H989" s="54">
        <v>44672</v>
      </c>
      <c r="I989" s="144" t="s">
        <v>13</v>
      </c>
      <c r="J989" s="105">
        <f t="shared" si="87"/>
        <v>702.38229041095815</v>
      </c>
      <c r="K989" s="105">
        <f t="shared" si="89"/>
        <v>53410.27</v>
      </c>
      <c r="L989" s="106">
        <f t="shared" si="84"/>
        <v>4.9999999944702722E-2</v>
      </c>
      <c r="M989" s="394">
        <f>+J989+K989</f>
        <v>54112.652290410952</v>
      </c>
      <c r="N989" s="393"/>
      <c r="O989" s="97">
        <f t="shared" si="90"/>
        <v>-167123.28767123286</v>
      </c>
    </row>
    <row r="990" spans="1:15" ht="15.95" customHeight="1" x14ac:dyDescent="0.25">
      <c r="A990" s="121"/>
      <c r="B990" s="23"/>
      <c r="C990" s="24"/>
      <c r="D990" s="272"/>
      <c r="E990" s="272"/>
      <c r="F990" s="34"/>
      <c r="G990" s="90"/>
      <c r="H990" s="24"/>
      <c r="I990" s="24"/>
      <c r="J990" s="24"/>
      <c r="K990" s="24"/>
      <c r="L990" s="24"/>
      <c r="M990" s="24"/>
      <c r="N990" s="25"/>
      <c r="O990" s="97">
        <f t="shared" si="90"/>
        <v>-110267.12328767122</v>
      </c>
    </row>
    <row r="991" spans="1:15" ht="15.95" customHeight="1" x14ac:dyDescent="0.25">
      <c r="A991" s="121"/>
      <c r="B991" s="23"/>
      <c r="C991" s="24"/>
      <c r="D991" s="272"/>
      <c r="E991" s="272"/>
      <c r="F991" s="34"/>
      <c r="G991" s="90"/>
      <c r="H991" s="680" t="s">
        <v>43</v>
      </c>
      <c r="I991" s="680"/>
      <c r="J991" s="92">
        <v>0</v>
      </c>
      <c r="K991" s="92"/>
      <c r="L991" s="24"/>
      <c r="M991" s="33"/>
      <c r="N991" s="25"/>
      <c r="O991" s="97">
        <f t="shared" si="90"/>
        <v>-54782.1917808219</v>
      </c>
    </row>
    <row r="992" spans="1:15" ht="15.95" customHeight="1" x14ac:dyDescent="0.25">
      <c r="A992" s="121"/>
      <c r="B992" s="23"/>
      <c r="C992" s="24"/>
      <c r="D992" s="272"/>
      <c r="E992" s="272"/>
      <c r="F992" s="34"/>
      <c r="G992" s="90"/>
      <c r="H992" s="657"/>
      <c r="I992" s="657"/>
      <c r="J992" s="392"/>
      <c r="K992" s="24"/>
      <c r="L992" s="33"/>
      <c r="M992" s="33"/>
      <c r="N992" s="25"/>
      <c r="O992" s="97">
        <f t="shared" si="90"/>
        <v>-623.28767123285797</v>
      </c>
    </row>
    <row r="993" spans="1:15" ht="15.95" customHeight="1" x14ac:dyDescent="0.25">
      <c r="A993" s="121"/>
      <c r="B993" s="23"/>
      <c r="C993" s="24"/>
      <c r="D993" s="272"/>
      <c r="E993" s="272"/>
      <c r="F993" s="34"/>
      <c r="G993" s="90"/>
      <c r="H993" s="24"/>
      <c r="I993" s="24"/>
      <c r="J993" s="24"/>
      <c r="K993" s="24"/>
      <c r="L993" s="24"/>
      <c r="M993" s="24"/>
      <c r="N993" s="25"/>
      <c r="O993" s="97">
        <f t="shared" si="90"/>
        <v>52119.1780821918</v>
      </c>
    </row>
    <row r="994" spans="1:15" ht="15.95" customHeight="1" x14ac:dyDescent="0.25">
      <c r="A994" s="121"/>
      <c r="B994" s="23"/>
      <c r="C994" s="24"/>
      <c r="D994" s="272"/>
      <c r="E994" s="272"/>
      <c r="F994" s="34"/>
      <c r="G994" s="90"/>
      <c r="H994" s="638" t="s">
        <v>44</v>
      </c>
      <c r="I994" s="639"/>
      <c r="J994" s="639"/>
      <c r="K994" s="639"/>
      <c r="L994" s="639"/>
      <c r="M994" s="640"/>
      <c r="N994" s="25"/>
      <c r="O994" s="97">
        <f t="shared" si="90"/>
        <v>103475.34246575343</v>
      </c>
    </row>
    <row r="995" spans="1:15" ht="15.95" customHeight="1" x14ac:dyDescent="0.25">
      <c r="A995" s="121"/>
      <c r="B995" s="23"/>
      <c r="C995" s="24"/>
      <c r="D995" s="272"/>
      <c r="E995" s="272"/>
      <c r="F995" s="34"/>
      <c r="G995" s="90"/>
      <c r="H995" s="23"/>
      <c r="I995" s="24"/>
      <c r="J995" s="24"/>
      <c r="K995" s="24"/>
      <c r="L995" s="24"/>
      <c r="M995" s="25"/>
      <c r="N995" s="25"/>
    </row>
    <row r="996" spans="1:15" ht="15.95" customHeight="1" x14ac:dyDescent="0.25">
      <c r="A996" s="121"/>
      <c r="B996" s="23"/>
      <c r="C996" s="24"/>
      <c r="D996" s="272"/>
      <c r="E996" s="272"/>
      <c r="F996" s="34"/>
      <c r="G996" s="90"/>
      <c r="H996" s="23"/>
      <c r="I996" s="24"/>
      <c r="J996" s="24"/>
      <c r="K996" s="24"/>
      <c r="L996" s="24"/>
      <c r="M996" s="25"/>
      <c r="N996" s="25"/>
    </row>
    <row r="997" spans="1:15" ht="15.95" customHeight="1" x14ac:dyDescent="0.25">
      <c r="A997" s="121"/>
      <c r="B997" s="23"/>
      <c r="C997" s="24"/>
      <c r="D997" s="272"/>
      <c r="E997" s="272"/>
      <c r="F997" s="34"/>
      <c r="G997" s="90"/>
      <c r="H997" s="96"/>
      <c r="I997" s="35"/>
      <c r="J997" s="24"/>
      <c r="K997" s="24"/>
      <c r="L997" s="24"/>
      <c r="M997" s="25"/>
      <c r="N997" s="25"/>
    </row>
    <row r="998" spans="1:15" ht="15.95" customHeight="1" x14ac:dyDescent="0.25">
      <c r="A998" s="121"/>
      <c r="B998" s="23"/>
      <c r="C998" s="24"/>
      <c r="D998" s="272"/>
      <c r="E998" s="272"/>
      <c r="F998" s="34"/>
      <c r="G998" s="90"/>
      <c r="H998" s="23"/>
      <c r="I998" s="24"/>
      <c r="J998" s="24"/>
      <c r="K998" s="24"/>
      <c r="L998" s="24"/>
      <c r="M998" s="25"/>
      <c r="N998" s="25"/>
    </row>
    <row r="999" spans="1:15" ht="15.95" customHeight="1" x14ac:dyDescent="0.25">
      <c r="A999" s="121"/>
      <c r="B999" s="23"/>
      <c r="C999" s="24"/>
      <c r="D999" s="272"/>
      <c r="E999" s="272"/>
      <c r="F999" s="34"/>
      <c r="G999" s="90"/>
      <c r="H999" s="23"/>
      <c r="I999" s="24"/>
      <c r="J999" s="24"/>
      <c r="K999" s="24"/>
      <c r="L999" s="24"/>
      <c r="M999" s="25"/>
      <c r="N999" s="25"/>
    </row>
    <row r="1000" spans="1:15" ht="15.95" customHeight="1" x14ac:dyDescent="0.25">
      <c r="A1000" s="121"/>
      <c r="B1000" s="23"/>
      <c r="C1000" s="24"/>
      <c r="D1000" s="272"/>
      <c r="E1000" s="272"/>
      <c r="F1000" s="34"/>
      <c r="G1000" s="90"/>
      <c r="H1000" s="23"/>
      <c r="I1000" s="24"/>
      <c r="J1000" s="24"/>
      <c r="K1000" s="24"/>
      <c r="L1000" s="24"/>
      <c r="M1000" s="25"/>
      <c r="N1000" s="25"/>
    </row>
    <row r="1001" spans="1:15" ht="15.95" customHeight="1" x14ac:dyDescent="0.25">
      <c r="A1001" s="121"/>
      <c r="B1001" s="23"/>
      <c r="C1001" s="24"/>
      <c r="D1001" s="272"/>
      <c r="E1001" s="272"/>
      <c r="F1001" s="34"/>
      <c r="G1001" s="90"/>
      <c r="H1001" s="23"/>
      <c r="I1001" s="24"/>
      <c r="J1001" s="24"/>
      <c r="K1001" s="24"/>
      <c r="L1001" s="24"/>
      <c r="M1001" s="25"/>
      <c r="N1001" s="25"/>
    </row>
    <row r="1002" spans="1:15" ht="15.95" customHeight="1" x14ac:dyDescent="0.25">
      <c r="A1002" s="121"/>
      <c r="B1002" s="23"/>
      <c r="C1002" s="24"/>
      <c r="D1002" s="272"/>
      <c r="E1002" s="272"/>
      <c r="F1002" s="34"/>
      <c r="G1002" s="90"/>
      <c r="H1002" s="23"/>
      <c r="I1002" s="24"/>
      <c r="J1002" s="24"/>
      <c r="K1002" s="24"/>
      <c r="L1002" s="24"/>
      <c r="M1002" s="25"/>
      <c r="N1002" s="25"/>
    </row>
    <row r="1003" spans="1:15" ht="15.95" customHeight="1" x14ac:dyDescent="0.25">
      <c r="A1003" s="121"/>
      <c r="B1003" s="23"/>
      <c r="C1003" s="24"/>
      <c r="D1003" s="272"/>
      <c r="E1003" s="272"/>
      <c r="F1003" s="34"/>
      <c r="G1003" s="90"/>
      <c r="H1003" s="23"/>
      <c r="I1003" s="24"/>
      <c r="J1003" s="24"/>
      <c r="K1003" s="24"/>
      <c r="L1003" s="24"/>
      <c r="M1003" s="25"/>
      <c r="N1003" s="25"/>
    </row>
    <row r="1004" spans="1:15" ht="15.95" customHeight="1" x14ac:dyDescent="0.25">
      <c r="A1004" s="121"/>
      <c r="B1004" s="23"/>
      <c r="C1004" s="24"/>
      <c r="D1004" s="24"/>
      <c r="E1004" s="24"/>
      <c r="F1004" s="24"/>
      <c r="G1004" s="90"/>
      <c r="H1004" s="23"/>
      <c r="I1004" s="24"/>
      <c r="J1004" s="24"/>
      <c r="K1004" s="24"/>
      <c r="L1004" s="24"/>
      <c r="M1004" s="25"/>
      <c r="N1004" s="25"/>
    </row>
    <row r="1005" spans="1:15" ht="15.95" customHeight="1" x14ac:dyDescent="0.25">
      <c r="A1005" s="121"/>
      <c r="B1005" s="23"/>
      <c r="C1005" s="24"/>
      <c r="D1005" s="24"/>
      <c r="E1005" s="24"/>
      <c r="F1005" s="24"/>
      <c r="G1005" s="90"/>
      <c r="H1005" s="23"/>
      <c r="I1005" s="24"/>
      <c r="J1005" s="24"/>
      <c r="K1005" s="24"/>
      <c r="L1005" s="24"/>
      <c r="M1005" s="25"/>
      <c r="N1005" s="25"/>
    </row>
    <row r="1006" spans="1:15" ht="15.95" customHeight="1" x14ac:dyDescent="0.25">
      <c r="A1006" s="121"/>
      <c r="B1006" s="23"/>
      <c r="C1006" s="24"/>
      <c r="D1006" s="24"/>
      <c r="E1006" s="24"/>
      <c r="F1006" s="24"/>
      <c r="G1006" s="90"/>
      <c r="H1006" s="26"/>
      <c r="I1006" s="27"/>
      <c r="J1006" s="27"/>
      <c r="K1006" s="27"/>
      <c r="L1006" s="27"/>
      <c r="M1006" s="28"/>
      <c r="N1006" s="25"/>
    </row>
    <row r="1007" spans="1:15" ht="15.95" customHeight="1" x14ac:dyDescent="0.25">
      <c r="A1007" s="121"/>
      <c r="B1007" s="23"/>
      <c r="C1007" s="24"/>
      <c r="D1007" s="24"/>
      <c r="E1007" s="24"/>
      <c r="F1007" s="24"/>
      <c r="G1007" s="90"/>
      <c r="H1007" s="24"/>
      <c r="I1007" s="24"/>
      <c r="J1007" s="24"/>
      <c r="K1007" s="24"/>
      <c r="L1007" s="24"/>
      <c r="M1007" s="24"/>
      <c r="N1007" s="25"/>
    </row>
    <row r="1008" spans="1:15" ht="15.95" customHeight="1" x14ac:dyDescent="0.25">
      <c r="A1008" s="121"/>
      <c r="B1008" s="23"/>
      <c r="C1008" s="24"/>
      <c r="D1008" s="24"/>
      <c r="E1008" s="24"/>
      <c r="F1008" s="24"/>
      <c r="G1008" s="90"/>
      <c r="H1008" s="24"/>
      <c r="I1008" s="24"/>
      <c r="J1008" s="24"/>
      <c r="K1008" s="24"/>
      <c r="L1008" s="24"/>
      <c r="M1008" s="24"/>
      <c r="N1008" s="25"/>
    </row>
    <row r="1009" spans="1:15" ht="15.95" customHeight="1" x14ac:dyDescent="0.25">
      <c r="A1009" s="121"/>
      <c r="B1009" s="23"/>
      <c r="C1009" s="24"/>
      <c r="D1009" s="24"/>
      <c r="E1009" s="24"/>
      <c r="F1009" s="24"/>
      <c r="G1009" s="90"/>
      <c r="H1009" s="651" t="s">
        <v>350</v>
      </c>
      <c r="I1009" s="652"/>
      <c r="J1009" s="652"/>
      <c r="K1009" s="652"/>
      <c r="L1009" s="653"/>
      <c r="M1009" s="24"/>
      <c r="N1009" s="25"/>
    </row>
    <row r="1010" spans="1:15" ht="15.95" customHeight="1" x14ac:dyDescent="0.25">
      <c r="A1010" s="121"/>
      <c r="B1010" s="23"/>
      <c r="C1010" s="24"/>
      <c r="D1010" s="24"/>
      <c r="E1010" s="24"/>
      <c r="F1010" s="24"/>
      <c r="G1010" s="90"/>
      <c r="H1010" s="126" t="s">
        <v>0</v>
      </c>
      <c r="I1010" s="127" t="s">
        <v>2</v>
      </c>
      <c r="J1010" s="127" t="s">
        <v>3</v>
      </c>
      <c r="K1010" s="127" t="s">
        <v>4</v>
      </c>
      <c r="L1010" s="128" t="s">
        <v>5</v>
      </c>
      <c r="M1010" s="127" t="s">
        <v>44</v>
      </c>
      <c r="N1010" s="25"/>
    </row>
    <row r="1011" spans="1:15" ht="15.95" customHeight="1" x14ac:dyDescent="0.25">
      <c r="A1011" s="121"/>
      <c r="B1011" s="23"/>
      <c r="C1011" s="24"/>
      <c r="D1011" s="24"/>
      <c r="E1011" s="24"/>
      <c r="F1011" s="24"/>
      <c r="G1011" s="90"/>
      <c r="H1011" s="45"/>
      <c r="I1011" s="46"/>
      <c r="J1011" s="46"/>
      <c r="K1011" s="46"/>
      <c r="L1011" s="47"/>
      <c r="M1011" s="23"/>
      <c r="N1011" s="25"/>
    </row>
    <row r="1012" spans="1:15" ht="15.95" customHeight="1" x14ac:dyDescent="0.25">
      <c r="A1012" s="121"/>
      <c r="B1012" s="23"/>
      <c r="C1012" s="24"/>
      <c r="D1012" s="24"/>
      <c r="E1012" s="24"/>
      <c r="F1012" s="24"/>
      <c r="G1012" s="90"/>
      <c r="H1012" s="48">
        <v>43349</v>
      </c>
      <c r="I1012" s="136"/>
      <c r="J1012" s="49"/>
      <c r="K1012" s="49"/>
      <c r="L1012" s="50">
        <f>+D978</f>
        <v>1168335</v>
      </c>
      <c r="M1012" s="93">
        <f>-L1012</f>
        <v>-1168335</v>
      </c>
      <c r="N1012" s="25"/>
    </row>
    <row r="1013" spans="1:15" ht="15.95" customHeight="1" x14ac:dyDescent="0.25">
      <c r="A1013" s="121"/>
      <c r="B1013" s="23"/>
      <c r="C1013" s="24"/>
      <c r="D1013" s="24"/>
      <c r="E1013" s="24"/>
      <c r="F1013" s="24"/>
      <c r="G1013" s="90"/>
      <c r="H1013" s="51">
        <f>IF(DAY(H1012)=DAY($H$1012),IF(WEEKDAY(EDATE(H1012,$D$979),3)&lt;5,EDATE(H1012,$D$979),WORKDAY(EDATE(H1012,$D$979),1)),IF(WEEKDAY(EDATE($H$1012,$D$979*COUNT($H$1012:H1012)),3)&lt;5,EDATE($H$1012,$D$979*COUNT($H$1012:H1012)),WORKDAY(EDATE($H$1012,$D$979*COUNT($H$1012:H1012)),1)))</f>
        <v>43440</v>
      </c>
      <c r="I1013" s="137" t="s">
        <v>13</v>
      </c>
      <c r="J1013" s="52">
        <f t="shared" ref="J1013:J1024" si="91">+(($D$981/365)*(H1013-H1012))*L1012</f>
        <v>40779.692876712332</v>
      </c>
      <c r="K1013" s="52">
        <f t="shared" ref="K1013:K1023" si="92">+IF(OR(I1013="A + C",I1013="A"),$L$1012*$D$983,0)</f>
        <v>97322.305500000002</v>
      </c>
      <c r="L1013" s="53">
        <f t="shared" ref="L1013:L1024" si="93">+L1012-K1013</f>
        <v>1071012.6945</v>
      </c>
      <c r="M1013" s="94">
        <f t="shared" ref="M1013:M1024" si="94">+J1013+K1013</f>
        <v>138101.99837671232</v>
      </c>
      <c r="N1013" s="25"/>
    </row>
    <row r="1014" spans="1:15" ht="15.95" customHeight="1" x14ac:dyDescent="0.25">
      <c r="A1014" s="121"/>
      <c r="B1014" s="23"/>
      <c r="C1014" s="24"/>
      <c r="D1014" s="24"/>
      <c r="E1014" s="24"/>
      <c r="F1014" s="24"/>
      <c r="G1014" s="90"/>
      <c r="H1014" s="51">
        <f>IF(DAY(H1013)=DAY($H$1012),IF(WEEKDAY(EDATE(H1013,$D$979),3)&lt;5,EDATE(H1013,$D$979),WORKDAY(EDATE(H1013,$D$979),1)),IF(WEEKDAY(EDATE($H$1012,$D$979*COUNT($H$1012:H1013)),3)&lt;5,EDATE($H$1012,$D$979*COUNT($H$1012:H1013)),WORKDAY(EDATE($H$1012,$D$979*COUNT($H$1012:H1013)),1)))</f>
        <v>43530</v>
      </c>
      <c r="I1014" s="137" t="s">
        <v>13</v>
      </c>
      <c r="J1014" s="52">
        <f t="shared" si="91"/>
        <v>36971.945070410962</v>
      </c>
      <c r="K1014" s="52">
        <f t="shared" si="92"/>
        <v>97322.305500000002</v>
      </c>
      <c r="L1014" s="53">
        <f t="shared" si="93"/>
        <v>973690.38899999997</v>
      </c>
      <c r="M1014" s="94">
        <f t="shared" si="94"/>
        <v>134294.25057041098</v>
      </c>
      <c r="N1014" s="25"/>
    </row>
    <row r="1015" spans="1:15" ht="15.95" customHeight="1" x14ac:dyDescent="0.25">
      <c r="A1015" s="121"/>
      <c r="B1015" s="23"/>
      <c r="C1015" s="24"/>
      <c r="D1015" s="24"/>
      <c r="E1015" s="24"/>
      <c r="F1015" s="24"/>
      <c r="G1015" s="90"/>
      <c r="H1015" s="51">
        <f>IF(DAY(H1014)=DAY($H$1012),IF(WEEKDAY(EDATE(H1014,$D$979),3)&lt;5,EDATE(H1014,$D$979),WORKDAY(EDATE(H1014,$D$979),1)),IF(WEEKDAY(EDATE($H$1012,$D$979*COUNT($H$1012:H1014)),3)&lt;5,EDATE($H$1012,$D$979*COUNT($H$1012:H1014)),WORKDAY(EDATE($H$1012,$D$979*COUNT($H$1012:H1014)),1)))</f>
        <v>43622</v>
      </c>
      <c r="I1015" s="137" t="s">
        <v>13</v>
      </c>
      <c r="J1015" s="52">
        <f t="shared" si="91"/>
        <v>34359.26632964384</v>
      </c>
      <c r="K1015" s="52">
        <f t="shared" si="92"/>
        <v>97322.305500000002</v>
      </c>
      <c r="L1015" s="53">
        <f t="shared" si="93"/>
        <v>876368.08349999995</v>
      </c>
      <c r="M1015" s="94">
        <f t="shared" si="94"/>
        <v>131681.57182964386</v>
      </c>
      <c r="N1015" s="25"/>
    </row>
    <row r="1016" spans="1:15" ht="20.100000000000001" customHeight="1" x14ac:dyDescent="0.25">
      <c r="A1016" s="121"/>
      <c r="B1016" s="23"/>
      <c r="C1016" s="24"/>
      <c r="D1016" s="24"/>
      <c r="E1016" s="24"/>
      <c r="F1016" s="24"/>
      <c r="G1016" s="90"/>
      <c r="H1016" s="51">
        <f>IF(DAY(H1015)=DAY($H$1012),IF(WEEKDAY(EDATE(H1015,$D$979),3)&lt;5,EDATE(H1015,$D$979),WORKDAY(EDATE(H1015,$D$979),1)),IF(WEEKDAY(EDATE($H$1012,$D$979*COUNT($H$1012:H1015)),3)&lt;5,EDATE($H$1012,$D$979*COUNT($H$1012:H1015)),WORKDAY(EDATE($H$1012,$D$979*COUNT($H$1012:H1015)),1)))</f>
        <v>43714</v>
      </c>
      <c r="I1016" s="137" t="s">
        <v>13</v>
      </c>
      <c r="J1016" s="52">
        <f t="shared" si="91"/>
        <v>30924.98880953425</v>
      </c>
      <c r="K1016" s="52">
        <f t="shared" si="92"/>
        <v>97322.305500000002</v>
      </c>
      <c r="L1016" s="53">
        <f t="shared" si="93"/>
        <v>779045.77799999993</v>
      </c>
      <c r="M1016" s="94">
        <f t="shared" si="94"/>
        <v>128247.29430953425</v>
      </c>
      <c r="N1016" s="25"/>
    </row>
    <row r="1017" spans="1:15" ht="15.95" customHeight="1" x14ac:dyDescent="0.25">
      <c r="A1017" s="121"/>
      <c r="B1017" s="23"/>
      <c r="C1017" s="24"/>
      <c r="D1017" s="24"/>
      <c r="E1017" s="24"/>
      <c r="F1017" s="24"/>
      <c r="G1017" s="90"/>
      <c r="H1017" s="51">
        <f>IF(DAY(H1016)=DAY($H$1012),IF(WEEKDAY(EDATE(H1016,$D$979),3)&lt;5,EDATE(H1016,$D$979),WORKDAY(EDATE(H1016,$D$979),1)),IF(WEEKDAY(EDATE($H$1012,$D$979*COUNT($H$1012:H1016)),3)&lt;5,EDATE($H$1012,$D$979*COUNT($H$1012:H1016)),WORKDAY(EDATE($H$1012,$D$979*COUNT($H$1012:H1016)),1)))</f>
        <v>43805</v>
      </c>
      <c r="I1017" s="137" t="s">
        <v>13</v>
      </c>
      <c r="J1017" s="52">
        <f t="shared" si="91"/>
        <v>27191.899210191779</v>
      </c>
      <c r="K1017" s="52">
        <f t="shared" si="92"/>
        <v>97322.305500000002</v>
      </c>
      <c r="L1017" s="53">
        <f t="shared" si="93"/>
        <v>681723.47249999992</v>
      </c>
      <c r="M1017" s="94">
        <f t="shared" si="94"/>
        <v>124514.20471019179</v>
      </c>
      <c r="N1017" s="25"/>
    </row>
    <row r="1018" spans="1:15" ht="20.100000000000001" customHeight="1" x14ac:dyDescent="0.25">
      <c r="A1018" s="121"/>
      <c r="B1018" s="23"/>
      <c r="C1018" s="24"/>
      <c r="D1018" s="24"/>
      <c r="E1018" s="24"/>
      <c r="F1018" s="24"/>
      <c r="G1018" s="90"/>
      <c r="H1018" s="51">
        <f>IF(DAY(H1017)=DAY($H$1012),IF(WEEKDAY(EDATE(H1017,$D$979),3)&lt;5,EDATE(H1017,$D$979),WORKDAY(EDATE(H1017,$D$979),1)),IF(WEEKDAY(EDATE($H$1012,$D$979*COUNT($H$1012:H1017)),3)&lt;5,EDATE($H$1012,$D$979*COUNT($H$1012:H1017)),WORKDAY(EDATE($H$1012,$D$979*COUNT($H$1012:H1017)),1)))</f>
        <v>43896</v>
      </c>
      <c r="I1018" s="137" t="s">
        <v>13</v>
      </c>
      <c r="J1018" s="52">
        <f t="shared" si="91"/>
        <v>23794.950793561642</v>
      </c>
      <c r="K1018" s="52">
        <f t="shared" si="92"/>
        <v>97322.305500000002</v>
      </c>
      <c r="L1018" s="53">
        <f t="shared" si="93"/>
        <v>584401.1669999999</v>
      </c>
      <c r="M1018" s="94">
        <f t="shared" si="94"/>
        <v>121117.25629356164</v>
      </c>
      <c r="N1018" s="25"/>
    </row>
    <row r="1019" spans="1:15" ht="15.95" customHeight="1" x14ac:dyDescent="0.25">
      <c r="A1019" s="121"/>
      <c r="B1019" s="23"/>
      <c r="C1019" s="24"/>
      <c r="D1019" s="24"/>
      <c r="E1019" s="24"/>
      <c r="F1019" s="24"/>
      <c r="G1019" s="90"/>
      <c r="H1019" s="51">
        <f>IF(DAY(H1018)=DAY($H$1012),IF(WEEKDAY(EDATE(H1018,$D$979),3)&lt;5,EDATE(H1018,$D$979),WORKDAY(EDATE(H1018,$D$979),1)),IF(WEEKDAY(EDATE($H$1012,$D$979*COUNT($H$1012:H1018)),3)&lt;5,EDATE($H$1012,$D$979*COUNT($H$1012:H1018)),WORKDAY(EDATE($H$1012,$D$979*COUNT($H$1012:H1018)),1)))</f>
        <v>43990</v>
      </c>
      <c r="I1019" s="137" t="s">
        <v>13</v>
      </c>
      <c r="J1019" s="52">
        <f t="shared" si="91"/>
        <v>21070.463993753423</v>
      </c>
      <c r="K1019" s="52">
        <f t="shared" si="92"/>
        <v>97322.305500000002</v>
      </c>
      <c r="L1019" s="53">
        <f t="shared" si="93"/>
        <v>487078.86149999988</v>
      </c>
      <c r="M1019" s="94">
        <f t="shared" si="94"/>
        <v>118392.76949375343</v>
      </c>
      <c r="N1019" s="25"/>
    </row>
    <row r="1020" spans="1:15" ht="20.100000000000001" customHeight="1" x14ac:dyDescent="0.25">
      <c r="A1020" s="121"/>
      <c r="B1020" s="23"/>
      <c r="C1020" s="24"/>
      <c r="D1020" s="24"/>
      <c r="E1020" s="24"/>
      <c r="F1020" s="24"/>
      <c r="G1020" s="90"/>
      <c r="H1020" s="51">
        <f>IF(DAY(H1019)=DAY($H$1012),IF(WEEKDAY(EDATE(H1019,$D$979),3)&lt;5,EDATE(H1019,$D$979),WORKDAY(EDATE(H1019,$D$979),1)),IF(WEEKDAY(EDATE($H$1012,$D$979*COUNT($H$1012:H1019)),3)&lt;5,EDATE($H$1012,$D$979*COUNT($H$1012:H1019)),WORKDAY(EDATE($H$1012,$D$979*COUNT($H$1012:H1019)),1)))</f>
        <v>44081</v>
      </c>
      <c r="I1020" s="137" t="s">
        <v>13</v>
      </c>
      <c r="J1020" s="52">
        <f t="shared" si="91"/>
        <v>17001.053960301368</v>
      </c>
      <c r="K1020" s="52">
        <f t="shared" si="92"/>
        <v>97322.305500000002</v>
      </c>
      <c r="L1020" s="53">
        <f t="shared" si="93"/>
        <v>389756.55599999987</v>
      </c>
      <c r="M1020" s="94">
        <f t="shared" si="94"/>
        <v>114323.35946030138</v>
      </c>
      <c r="N1020" s="25"/>
    </row>
    <row r="1021" spans="1:15" ht="15.95" customHeight="1" x14ac:dyDescent="0.25">
      <c r="A1021" s="121"/>
      <c r="B1021" s="23"/>
      <c r="C1021" s="24"/>
      <c r="D1021" s="24"/>
      <c r="E1021" s="24"/>
      <c r="F1021" s="24"/>
      <c r="G1021" s="90"/>
      <c r="H1021" s="51">
        <f>IF(DAY(H1020)=DAY($H$1012),IF(WEEKDAY(EDATE(H1020,$D$979),3)&lt;5,EDATE(H1020,$D$979),WORKDAY(EDATE(H1020,$D$979),1)),IF(WEEKDAY(EDATE($H$1012,$D$979*COUNT($H$1012:H1020)),3)&lt;5,EDATE($H$1012,$D$979*COUNT($H$1012:H1020)),WORKDAY(EDATE($H$1012,$D$979*COUNT($H$1012:H1020)),1)))</f>
        <v>44172</v>
      </c>
      <c r="I1021" s="137" t="s">
        <v>13</v>
      </c>
      <c r="J1021" s="52">
        <f t="shared" si="91"/>
        <v>13604.105543671229</v>
      </c>
      <c r="K1021" s="52">
        <f t="shared" si="92"/>
        <v>97322.305500000002</v>
      </c>
      <c r="L1021" s="53">
        <f t="shared" si="93"/>
        <v>292434.25049999985</v>
      </c>
      <c r="M1021" s="94">
        <f t="shared" si="94"/>
        <v>110926.41104367124</v>
      </c>
      <c r="N1021" s="25"/>
    </row>
    <row r="1022" spans="1:15" ht="15.95" customHeight="1" x14ac:dyDescent="0.25">
      <c r="A1022" s="121"/>
      <c r="B1022" s="23"/>
      <c r="C1022" s="24"/>
      <c r="D1022" s="24"/>
      <c r="E1022" s="24"/>
      <c r="F1022" s="24"/>
      <c r="G1022" s="90"/>
      <c r="H1022" s="51">
        <f>IF(DAY(H1021)=DAY($H$1012),IF(WEEKDAY(EDATE(H1021,$D$979),3)&lt;5,EDATE(H1021,$D$979),WORKDAY(EDATE(H1021,$D$979),1)),IF(WEEKDAY(EDATE($H$1012,$D$979*COUNT($H$1012:H1021)),3)&lt;5,EDATE($H$1012,$D$979*COUNT($H$1012:H1021)),WORKDAY(EDATE($H$1012,$D$979*COUNT($H$1012:H1021)),1)))</f>
        <v>44263</v>
      </c>
      <c r="I1022" s="137" t="s">
        <v>13</v>
      </c>
      <c r="J1022" s="52">
        <f t="shared" si="91"/>
        <v>10207.157127041091</v>
      </c>
      <c r="K1022" s="52">
        <f t="shared" si="92"/>
        <v>97322.305500000002</v>
      </c>
      <c r="L1022" s="53">
        <f t="shared" si="93"/>
        <v>195111.94499999983</v>
      </c>
      <c r="M1022" s="94">
        <f t="shared" si="94"/>
        <v>107529.4626270411</v>
      </c>
      <c r="N1022" s="25"/>
      <c r="O1022" s="194" t="str">
        <f>+D1166</f>
        <v>ON Pyme CNV Garantizada</v>
      </c>
    </row>
    <row r="1023" spans="1:15" ht="15.95" customHeight="1" x14ac:dyDescent="0.25">
      <c r="A1023" s="121"/>
      <c r="B1023" s="23"/>
      <c r="C1023" s="24"/>
      <c r="D1023" s="24"/>
      <c r="E1023" s="24"/>
      <c r="F1023" s="24"/>
      <c r="G1023" s="90"/>
      <c r="H1023" s="51">
        <f>IF(DAY(H1022)=DAY($H$1012),IF(WEEKDAY(EDATE(H1022,$D$979),3)&lt;5,EDATE(H1022,$D$979),WORKDAY(EDATE(H1022,$D$979),1)),IF(WEEKDAY(EDATE($H$1012,$D$979*COUNT($H$1012:H1022)),3)&lt;5,EDATE($H$1012,$D$979*COUNT($H$1012:H1022)),WORKDAY(EDATE($H$1012,$D$979*COUNT($H$1012:H1022)),1)))</f>
        <v>44354</v>
      </c>
      <c r="I1023" s="137" t="s">
        <v>13</v>
      </c>
      <c r="J1023" s="52">
        <f t="shared" si="91"/>
        <v>6810.2087104109532</v>
      </c>
      <c r="K1023" s="52">
        <f t="shared" si="92"/>
        <v>97322.305500000002</v>
      </c>
      <c r="L1023" s="53">
        <f t="shared" si="93"/>
        <v>97789.63949999983</v>
      </c>
      <c r="M1023" s="94">
        <f t="shared" si="94"/>
        <v>104132.51421041095</v>
      </c>
      <c r="N1023" s="25"/>
    </row>
    <row r="1024" spans="1:15" ht="15.95" customHeight="1" x14ac:dyDescent="0.25">
      <c r="A1024" s="121"/>
      <c r="B1024" s="23"/>
      <c r="C1024" s="24"/>
      <c r="D1024" s="24"/>
      <c r="E1024" s="24"/>
      <c r="F1024" s="24"/>
      <c r="G1024" s="90"/>
      <c r="H1024" s="51">
        <f>IF(DAY(H1023)=DAY($H$1012),IF(WEEKDAY(EDATE(H1023,$D$979),3)&lt;5,EDATE(H1023,$D$979),WORKDAY(EDATE(H1023,$D$979),1)),IF(WEEKDAY(EDATE($H$1012,$D$979*COUNT($H$1012:H1023)),3)&lt;5,EDATE($H$1012,$D$979*COUNT($H$1012:H1023)),WORKDAY(EDATE($H$1012,$D$979*COUNT($H$1012:H1023)),1)))</f>
        <v>44445</v>
      </c>
      <c r="I1024" s="137" t="s">
        <v>13</v>
      </c>
      <c r="J1024" s="52">
        <f t="shared" si="91"/>
        <v>3413.260293780816</v>
      </c>
      <c r="K1024" s="52">
        <f>+IF(OR(I1024="A + C",I1024="A"),$D$978*$D$984,0)</f>
        <v>97789.63949999999</v>
      </c>
      <c r="L1024" s="53">
        <f t="shared" si="93"/>
        <v>-1.6007106751203537E-10</v>
      </c>
      <c r="M1024" s="94">
        <f t="shared" si="94"/>
        <v>101202.8997937808</v>
      </c>
      <c r="N1024" s="25"/>
      <c r="O1024" s="194" t="str">
        <f>+IF(J1164="vencida",IF(D1166='Reporte - Oscuro'!$C$40,'Reporte - Oscuro'!$C$40&amp;" vencida",IF(D1166='Reporte - Oscuro'!$C$41,'Reporte - Oscuro'!$C$41&amp;" vencida",IF(D1166='Reporte - Oscuro'!$C$42,'Reporte - Oscuro'!$C$42&amp;" vencida",'Reporte - Oscuro'!$C$43&amp;" vencida"))),D1166&amp;" vigente")</f>
        <v>ON Pyme CNV Garantizada vencida</v>
      </c>
    </row>
    <row r="1025" spans="1:15" ht="15.95" customHeight="1" x14ac:dyDescent="0.25">
      <c r="A1025" s="121"/>
      <c r="B1025" s="23"/>
      <c r="C1025" s="24"/>
      <c r="D1025" s="24"/>
      <c r="E1025" s="24"/>
      <c r="F1025" s="24"/>
      <c r="G1025" s="90"/>
      <c r="H1025" s="54"/>
      <c r="I1025" s="144"/>
      <c r="J1025" s="55"/>
      <c r="K1025" s="56"/>
      <c r="L1025" s="57"/>
      <c r="M1025" s="109"/>
      <c r="N1025" s="25"/>
    </row>
    <row r="1026" spans="1:15" ht="15.95" customHeight="1" x14ac:dyDescent="0.25">
      <c r="A1026" s="121"/>
      <c r="B1026" s="23"/>
      <c r="C1026" s="24"/>
      <c r="D1026" s="24"/>
      <c r="E1026" s="24"/>
      <c r="F1026" s="24"/>
      <c r="G1026" s="90"/>
      <c r="H1026" s="24"/>
      <c r="I1026" s="24"/>
      <c r="J1026" s="24"/>
      <c r="K1026" s="24"/>
      <c r="L1026" s="24"/>
      <c r="M1026" s="24"/>
      <c r="N1026" s="25"/>
    </row>
    <row r="1027" spans="1:15" ht="15.95" customHeight="1" x14ac:dyDescent="0.25">
      <c r="A1027" s="121"/>
      <c r="B1027" s="23"/>
      <c r="C1027" s="24"/>
      <c r="D1027" s="24"/>
      <c r="E1027" s="24"/>
      <c r="F1027" s="24"/>
      <c r="G1027" s="90"/>
      <c r="H1027" s="680" t="s">
        <v>45</v>
      </c>
      <c r="I1027" s="680"/>
      <c r="J1027" s="99">
        <f>+XIRR(M1012:M1024,H1012:H1024)</f>
        <v>0.14752091765403752</v>
      </c>
      <c r="K1027" s="24"/>
      <c r="L1027" s="33"/>
      <c r="M1027" s="33"/>
      <c r="N1027" s="25"/>
    </row>
    <row r="1028" spans="1:15" ht="15.95" customHeight="1" x14ac:dyDescent="0.25">
      <c r="A1028" s="121"/>
      <c r="B1028" s="23"/>
      <c r="C1028" s="24"/>
      <c r="D1028" s="24"/>
      <c r="E1028" s="24"/>
      <c r="F1028" s="24"/>
      <c r="G1028" s="90"/>
      <c r="H1028" s="24"/>
      <c r="I1028" s="24"/>
      <c r="J1028" s="24"/>
      <c r="K1028" s="24"/>
      <c r="L1028" s="24"/>
      <c r="M1028" s="24"/>
      <c r="N1028" s="25"/>
    </row>
    <row r="1029" spans="1:15" ht="15.95" customHeight="1" x14ac:dyDescent="0.25">
      <c r="A1029" s="121"/>
      <c r="B1029" s="23"/>
      <c r="C1029" s="24"/>
      <c r="D1029" s="24"/>
      <c r="E1029" s="24"/>
      <c r="F1029" s="24"/>
      <c r="G1029" s="90"/>
      <c r="H1029" s="638" t="s">
        <v>44</v>
      </c>
      <c r="I1029" s="639"/>
      <c r="J1029" s="639"/>
      <c r="K1029" s="639"/>
      <c r="L1029" s="639"/>
      <c r="M1029" s="640"/>
      <c r="N1029" s="25"/>
      <c r="O1029" s="97">
        <f>+M1169</f>
        <v>-300000</v>
      </c>
    </row>
    <row r="1030" spans="1:15" ht="15.95" customHeight="1" x14ac:dyDescent="0.25">
      <c r="A1030" s="121"/>
      <c r="B1030" s="23"/>
      <c r="C1030" s="24"/>
      <c r="D1030" s="24"/>
      <c r="E1030" s="24"/>
      <c r="F1030" s="24"/>
      <c r="G1030" s="90"/>
      <c r="H1030" s="23"/>
      <c r="I1030" s="24"/>
      <c r="J1030" s="24"/>
      <c r="K1030" s="24"/>
      <c r="L1030" s="24"/>
      <c r="M1030" s="25"/>
      <c r="N1030" s="25"/>
      <c r="O1030" s="97">
        <f t="shared" ref="O1030:O1041" si="95">+M1170+O1029</f>
        <v>-269587.39726027398</v>
      </c>
    </row>
    <row r="1031" spans="1:15" ht="15.95" customHeight="1" x14ac:dyDescent="0.25">
      <c r="A1031" s="121"/>
      <c r="B1031" s="23"/>
      <c r="C1031" s="24"/>
      <c r="D1031" s="24"/>
      <c r="E1031" s="24"/>
      <c r="F1031" s="24"/>
      <c r="G1031" s="90"/>
      <c r="H1031" s="23"/>
      <c r="I1031" s="24"/>
      <c r="J1031" s="24"/>
      <c r="K1031" s="24"/>
      <c r="L1031" s="24"/>
      <c r="M1031" s="25"/>
      <c r="N1031" s="25"/>
      <c r="O1031" s="97">
        <f t="shared" si="95"/>
        <v>-239571.87205479454</v>
      </c>
    </row>
    <row r="1032" spans="1:15" ht="15.95" customHeight="1" x14ac:dyDescent="0.25">
      <c r="A1032" s="121"/>
      <c r="B1032" s="23"/>
      <c r="C1032" s="24"/>
      <c r="D1032" s="24"/>
      <c r="E1032" s="24"/>
      <c r="F1032" s="24"/>
      <c r="G1032" s="90"/>
      <c r="H1032" s="96"/>
      <c r="I1032" s="35"/>
      <c r="J1032" s="24"/>
      <c r="K1032" s="24"/>
      <c r="L1032" s="24"/>
      <c r="M1032" s="25"/>
      <c r="N1032" s="25"/>
      <c r="O1032" s="97">
        <f t="shared" si="95"/>
        <v>-210013.01342465755</v>
      </c>
    </row>
    <row r="1033" spans="1:15" ht="15.95" customHeight="1" x14ac:dyDescent="0.25">
      <c r="A1033" s="121"/>
      <c r="B1033" s="23"/>
      <c r="C1033" s="24"/>
      <c r="D1033" s="24"/>
      <c r="E1033" s="24"/>
      <c r="F1033" s="24"/>
      <c r="G1033" s="90"/>
      <c r="H1033" s="23"/>
      <c r="I1033" s="24"/>
      <c r="J1033" s="24"/>
      <c r="K1033" s="24"/>
      <c r="L1033" s="24"/>
      <c r="M1033" s="25"/>
      <c r="N1033" s="25"/>
      <c r="O1033" s="97">
        <f t="shared" si="95"/>
        <v>-181000.2168493151</v>
      </c>
    </row>
    <row r="1034" spans="1:15" ht="15.95" customHeight="1" x14ac:dyDescent="0.25">
      <c r="A1034" s="121"/>
      <c r="B1034" s="23"/>
      <c r="C1034" s="24"/>
      <c r="D1034" s="24"/>
      <c r="E1034" s="24"/>
      <c r="F1034" s="24"/>
      <c r="G1034" s="90"/>
      <c r="H1034" s="23"/>
      <c r="I1034" s="24"/>
      <c r="J1034" s="24"/>
      <c r="K1034" s="24"/>
      <c r="L1034" s="24"/>
      <c r="M1034" s="25"/>
      <c r="N1034" s="25"/>
      <c r="O1034" s="97">
        <f t="shared" si="95"/>
        <v>-152394.42534246578</v>
      </c>
    </row>
    <row r="1035" spans="1:15" ht="15.95" customHeight="1" x14ac:dyDescent="0.25">
      <c r="A1035" s="121"/>
      <c r="B1035" s="23"/>
      <c r="C1035" s="24"/>
      <c r="D1035" s="24"/>
      <c r="E1035" s="24"/>
      <c r="F1035" s="24"/>
      <c r="G1035" s="90"/>
      <c r="H1035" s="23"/>
      <c r="I1035" s="24"/>
      <c r="J1035" s="24"/>
      <c r="K1035" s="24"/>
      <c r="L1035" s="24"/>
      <c r="M1035" s="25"/>
      <c r="N1035" s="25"/>
      <c r="O1035" s="97">
        <f t="shared" si="95"/>
        <v>-124205.5664383562</v>
      </c>
    </row>
    <row r="1036" spans="1:15" ht="15.95" customHeight="1" x14ac:dyDescent="0.25">
      <c r="A1036" s="121"/>
      <c r="B1036" s="23"/>
      <c r="C1036" s="24"/>
      <c r="D1036" s="24"/>
      <c r="E1036" s="24"/>
      <c r="F1036" s="24"/>
      <c r="G1036" s="90"/>
      <c r="H1036" s="23"/>
      <c r="I1036" s="24"/>
      <c r="J1036" s="24"/>
      <c r="K1036" s="24"/>
      <c r="L1036" s="24"/>
      <c r="M1036" s="25"/>
      <c r="N1036" s="25"/>
      <c r="O1036" s="97">
        <f t="shared" si="95"/>
        <v>-96413.761232876743</v>
      </c>
    </row>
    <row r="1037" spans="1:15" ht="15.95" customHeight="1" x14ac:dyDescent="0.25">
      <c r="A1037" s="121"/>
      <c r="B1037" s="23"/>
      <c r="C1037" s="24"/>
      <c r="D1037" s="24"/>
      <c r="E1037" s="24"/>
      <c r="F1037" s="24"/>
      <c r="G1037" s="90"/>
      <c r="H1037" s="23"/>
      <c r="I1037" s="24"/>
      <c r="J1037" s="24"/>
      <c r="K1037" s="24"/>
      <c r="L1037" s="24"/>
      <c r="M1037" s="25"/>
      <c r="N1037" s="25"/>
      <c r="O1037" s="97">
        <f t="shared" si="95"/>
        <v>-69163.07815068496</v>
      </c>
    </row>
    <row r="1038" spans="1:15" ht="15.95" customHeight="1" x14ac:dyDescent="0.25">
      <c r="A1038" s="121"/>
      <c r="B1038" s="23"/>
      <c r="C1038" s="24"/>
      <c r="D1038" s="24"/>
      <c r="E1038" s="24"/>
      <c r="F1038" s="24"/>
      <c r="G1038" s="90"/>
      <c r="H1038" s="23"/>
      <c r="I1038" s="24"/>
      <c r="J1038" s="24"/>
      <c r="K1038" s="24"/>
      <c r="L1038" s="24"/>
      <c r="M1038" s="25"/>
      <c r="N1038" s="25"/>
      <c r="O1038" s="97">
        <f t="shared" si="95"/>
        <v>-42364.09787671236</v>
      </c>
    </row>
    <row r="1039" spans="1:15" ht="15.95" customHeight="1" x14ac:dyDescent="0.25">
      <c r="A1039" s="121"/>
      <c r="B1039" s="23"/>
      <c r="C1039" s="24"/>
      <c r="D1039" s="24"/>
      <c r="E1039" s="24"/>
      <c r="F1039" s="24"/>
      <c r="G1039" s="90"/>
      <c r="H1039" s="23"/>
      <c r="I1039" s="24"/>
      <c r="J1039" s="24"/>
      <c r="K1039" s="24"/>
      <c r="L1039" s="24"/>
      <c r="M1039" s="25"/>
      <c r="N1039" s="25"/>
      <c r="O1039" s="97">
        <f t="shared" si="95"/>
        <v>-16016.820410958935</v>
      </c>
    </row>
    <row r="1040" spans="1:15" ht="15.95" customHeight="1" x14ac:dyDescent="0.25">
      <c r="A1040" s="121"/>
      <c r="B1040" s="23"/>
      <c r="C1040" s="24"/>
      <c r="D1040" s="24"/>
      <c r="E1040" s="24"/>
      <c r="F1040" s="24"/>
      <c r="G1040" s="90"/>
      <c r="H1040" s="23"/>
      <c r="I1040" s="24"/>
      <c r="J1040" s="24"/>
      <c r="K1040" s="24"/>
      <c r="L1040" s="24"/>
      <c r="M1040" s="25"/>
      <c r="N1040" s="25"/>
      <c r="O1040" s="97">
        <f t="shared" si="95"/>
        <v>9878.7542465753104</v>
      </c>
    </row>
    <row r="1041" spans="1:15" ht="15.95" customHeight="1" x14ac:dyDescent="0.25">
      <c r="A1041" s="121"/>
      <c r="B1041" s="23"/>
      <c r="C1041" s="24"/>
      <c r="D1041" s="24"/>
      <c r="E1041" s="24"/>
      <c r="F1041" s="24"/>
      <c r="G1041" s="90"/>
      <c r="H1041" s="26"/>
      <c r="I1041" s="27"/>
      <c r="J1041" s="27"/>
      <c r="K1041" s="27"/>
      <c r="L1041" s="27"/>
      <c r="M1041" s="28"/>
      <c r="N1041" s="25"/>
      <c r="O1041" s="97">
        <f t="shared" si="95"/>
        <v>35442.62609589038</v>
      </c>
    </row>
    <row r="1042" spans="1:15" ht="15.95" customHeight="1" x14ac:dyDescent="0.25">
      <c r="A1042" s="121"/>
      <c r="B1042" s="23"/>
      <c r="C1042" s="24"/>
      <c r="D1042" s="24"/>
      <c r="E1042" s="24"/>
      <c r="F1042" s="24"/>
      <c r="G1042" s="90"/>
      <c r="H1042" s="24"/>
      <c r="I1042" s="24"/>
      <c r="J1042" s="24"/>
      <c r="K1042" s="24"/>
      <c r="L1042" s="24"/>
      <c r="M1042" s="24"/>
      <c r="N1042" s="25"/>
    </row>
    <row r="1043" spans="1:15" ht="15.95" customHeight="1" x14ac:dyDescent="0.25">
      <c r="A1043" s="121"/>
      <c r="B1043" s="26"/>
      <c r="C1043" s="85"/>
      <c r="D1043" s="27"/>
      <c r="E1043" s="27"/>
      <c r="F1043" s="27"/>
      <c r="G1043" s="91"/>
      <c r="H1043" s="27"/>
      <c r="I1043" s="27"/>
      <c r="J1043" s="27"/>
      <c r="K1043" s="27"/>
      <c r="L1043" s="27"/>
      <c r="M1043" s="27"/>
      <c r="N1043" s="28"/>
    </row>
    <row r="1044" spans="1:15" ht="15.95" customHeight="1" x14ac:dyDescent="0.25">
      <c r="A1044" s="121"/>
      <c r="B1044" s="23"/>
      <c r="C1044" s="24"/>
      <c r="D1044" s="24"/>
      <c r="E1044" s="24"/>
      <c r="F1044" s="24"/>
      <c r="G1044" s="24"/>
      <c r="H1044" s="24"/>
      <c r="I1044" s="24"/>
      <c r="J1044" s="24"/>
      <c r="K1044" s="24"/>
      <c r="L1044" s="24"/>
      <c r="M1044" s="24"/>
      <c r="N1044" s="25"/>
    </row>
    <row r="1045" spans="1:15" ht="15.95" customHeight="1" x14ac:dyDescent="0.25">
      <c r="A1045" s="121"/>
      <c r="B1045" s="23"/>
      <c r="C1045" s="24"/>
      <c r="D1045" s="24"/>
      <c r="E1045" s="24"/>
      <c r="F1045" s="24"/>
      <c r="G1045" s="24"/>
      <c r="H1045" s="24"/>
      <c r="I1045" s="24"/>
      <c r="J1045" s="24"/>
      <c r="K1045" s="24"/>
      <c r="L1045" s="24"/>
      <c r="M1045" s="24"/>
      <c r="N1045" s="25"/>
    </row>
    <row r="1046" spans="1:15" ht="15.95" customHeight="1" x14ac:dyDescent="0.25">
      <c r="A1046" s="122" t="s">
        <v>123</v>
      </c>
      <c r="B1046" s="111"/>
      <c r="C1046" s="112"/>
      <c r="D1046" s="112"/>
      <c r="E1046" s="112"/>
      <c r="F1046" s="113"/>
      <c r="G1046" s="113"/>
      <c r="H1046" s="113"/>
      <c r="I1046" s="113"/>
      <c r="J1046" s="112"/>
      <c r="K1046" s="112"/>
      <c r="L1046" s="112"/>
      <c r="M1046" s="112"/>
      <c r="N1046" s="114"/>
    </row>
    <row r="1047" spans="1:15" ht="15.95" customHeight="1" x14ac:dyDescent="0.25">
      <c r="A1047" s="121"/>
      <c r="B1047" s="23"/>
      <c r="C1047" s="24"/>
      <c r="D1047" s="24"/>
      <c r="E1047" s="24"/>
      <c r="F1047" s="24"/>
      <c r="G1047" s="24"/>
      <c r="H1047" s="24"/>
      <c r="I1047" s="24"/>
      <c r="J1047" s="24"/>
      <c r="K1047" s="24"/>
      <c r="L1047" s="24"/>
      <c r="M1047" s="24"/>
      <c r="N1047" s="25"/>
    </row>
    <row r="1048" spans="1:15" ht="15.95" customHeight="1" x14ac:dyDescent="0.25">
      <c r="A1048" s="121"/>
      <c r="B1048" s="683" t="s">
        <v>196</v>
      </c>
      <c r="C1048" s="684"/>
      <c r="D1048" s="684"/>
      <c r="E1048" s="684"/>
      <c r="F1048" s="684"/>
      <c r="G1048" s="684"/>
      <c r="H1048" s="684"/>
      <c r="I1048" s="684"/>
      <c r="J1048" s="684"/>
      <c r="K1048" s="684"/>
      <c r="L1048" s="684"/>
      <c r="M1048" s="684"/>
      <c r="N1048" s="685"/>
    </row>
    <row r="1049" spans="1:15" ht="15.95" customHeight="1" x14ac:dyDescent="0.25">
      <c r="A1049" s="121"/>
      <c r="B1049" s="23"/>
      <c r="C1049" s="24"/>
      <c r="D1049" s="24"/>
      <c r="E1049" s="24"/>
      <c r="F1049" s="31"/>
      <c r="G1049" s="87"/>
      <c r="H1049" s="31"/>
      <c r="I1049" s="31"/>
      <c r="J1049" s="24"/>
      <c r="K1049" s="24"/>
      <c r="L1049" s="24"/>
      <c r="M1049" s="24"/>
      <c r="N1049" s="25"/>
    </row>
    <row r="1050" spans="1:15" ht="15.95" customHeight="1" x14ac:dyDescent="0.25">
      <c r="A1050" s="121"/>
      <c r="B1050" s="23"/>
      <c r="C1050" s="638" t="s">
        <v>37</v>
      </c>
      <c r="D1050" s="639"/>
      <c r="E1050" s="640"/>
      <c r="F1050" s="31"/>
      <c r="G1050" s="87"/>
      <c r="H1050" s="641" t="s">
        <v>28</v>
      </c>
      <c r="I1050" s="642"/>
      <c r="J1050" s="39">
        <f>+$D$1070-SUMIF($H$1056:$H$1063,"&lt;"&amp;$M$4,$K$1056:$K$1063)</f>
        <v>0</v>
      </c>
      <c r="K1050" s="24"/>
      <c r="L1050" s="24"/>
      <c r="M1050" s="24"/>
      <c r="N1050" s="25"/>
    </row>
    <row r="1051" spans="1:15" ht="15.95" customHeight="1" x14ac:dyDescent="0.25">
      <c r="A1051" s="121"/>
      <c r="B1051" s="23"/>
      <c r="C1051" s="58"/>
      <c r="D1051" s="664"/>
      <c r="E1051" s="665"/>
      <c r="F1051" s="31"/>
      <c r="G1051" s="87"/>
      <c r="H1051" s="645" t="s">
        <v>29</v>
      </c>
      <c r="I1051" s="646"/>
      <c r="J1051" s="40">
        <f>+$D$1069</f>
        <v>44312</v>
      </c>
      <c r="K1051" s="24"/>
      <c r="L1051" s="24"/>
      <c r="M1051" s="24"/>
      <c r="N1051" s="25"/>
    </row>
    <row r="1052" spans="1:15" ht="15.95" customHeight="1" x14ac:dyDescent="0.25">
      <c r="A1052" s="121"/>
      <c r="B1052" s="23"/>
      <c r="C1052" s="59" t="s">
        <v>25</v>
      </c>
      <c r="D1052" s="681"/>
      <c r="E1052" s="682"/>
      <c r="F1052" s="31"/>
      <c r="G1052" s="87"/>
      <c r="H1052" s="649" t="s">
        <v>30</v>
      </c>
      <c r="I1052" s="650"/>
      <c r="J1052" s="42" t="str">
        <f t="array" ref="J1052">+IF(H1063&gt;=M4,MIN(IF($H$1056:$H$1063&gt;$M$4,$H$1056:$H$1063,"")),"vencida")</f>
        <v>vencida</v>
      </c>
      <c r="K1052" s="24"/>
      <c r="L1052" s="24"/>
      <c r="M1052" s="24"/>
      <c r="N1052" s="25"/>
    </row>
    <row r="1053" spans="1:15" ht="15.95" customHeight="1" x14ac:dyDescent="0.25">
      <c r="A1053" s="121"/>
      <c r="B1053" s="23"/>
      <c r="C1053" s="59" t="s">
        <v>6</v>
      </c>
      <c r="D1053" s="681" t="s">
        <v>241</v>
      </c>
      <c r="E1053" s="682"/>
      <c r="F1053" s="31"/>
      <c r="G1053" s="87"/>
      <c r="H1053" s="24"/>
      <c r="I1053" s="24"/>
      <c r="J1053" s="24"/>
      <c r="K1053" s="24"/>
      <c r="L1053" s="24"/>
      <c r="M1053" s="24"/>
      <c r="N1053" s="25"/>
    </row>
    <row r="1054" spans="1:15" ht="15.95" customHeight="1" x14ac:dyDescent="0.25">
      <c r="A1054" s="121"/>
      <c r="B1054" s="23"/>
      <c r="C1054" s="59" t="s">
        <v>8</v>
      </c>
      <c r="D1054" s="681" t="s">
        <v>17</v>
      </c>
      <c r="E1054" s="682"/>
      <c r="F1054" s="31"/>
      <c r="G1054" s="87"/>
      <c r="H1054" s="651" t="s">
        <v>41</v>
      </c>
      <c r="I1054" s="652"/>
      <c r="J1054" s="652"/>
      <c r="K1054" s="652"/>
      <c r="L1054" s="653"/>
      <c r="M1054" s="24"/>
      <c r="N1054" s="25"/>
    </row>
    <row r="1055" spans="1:15" ht="15.95" customHeight="1" x14ac:dyDescent="0.25">
      <c r="A1055" s="121"/>
      <c r="B1055" s="23"/>
      <c r="C1055" s="59" t="s">
        <v>33</v>
      </c>
      <c r="D1055" s="132" t="s">
        <v>309</v>
      </c>
      <c r="E1055" s="274">
        <v>1</v>
      </c>
      <c r="F1055" s="281">
        <f>+E1055*J1050</f>
        <v>0</v>
      </c>
      <c r="G1055" s="87"/>
      <c r="H1055" s="126" t="s">
        <v>0</v>
      </c>
      <c r="I1055" s="127" t="s">
        <v>2</v>
      </c>
      <c r="J1055" s="127" t="s">
        <v>3</v>
      </c>
      <c r="K1055" s="127" t="s">
        <v>4</v>
      </c>
      <c r="L1055" s="128" t="s">
        <v>5</v>
      </c>
      <c r="M1055" s="127" t="s">
        <v>44</v>
      </c>
      <c r="N1055" s="25"/>
    </row>
    <row r="1056" spans="1:15" ht="15.95" customHeight="1" x14ac:dyDescent="0.25">
      <c r="A1056" s="121"/>
      <c r="B1056" s="23"/>
      <c r="C1056" s="59" t="s">
        <v>34</v>
      </c>
      <c r="D1056" s="681" t="s">
        <v>48</v>
      </c>
      <c r="E1056" s="682"/>
      <c r="F1056" s="31"/>
      <c r="G1056" s="87"/>
      <c r="H1056" s="45"/>
      <c r="I1056" s="46"/>
      <c r="J1056" s="46"/>
      <c r="K1056" s="46"/>
      <c r="L1056" s="47"/>
      <c r="M1056" s="23"/>
      <c r="N1056" s="25"/>
    </row>
    <row r="1057" spans="1:15" ht="20.100000000000001" customHeight="1" x14ac:dyDescent="0.25">
      <c r="A1057" s="121"/>
      <c r="B1057" s="23"/>
      <c r="C1057" s="79" t="s">
        <v>38</v>
      </c>
      <c r="D1057" s="130"/>
      <c r="E1057" s="131"/>
      <c r="F1057" s="31"/>
      <c r="G1057" s="87"/>
      <c r="H1057" s="48">
        <f>+$D$1068</f>
        <v>43216</v>
      </c>
      <c r="I1057" s="136"/>
      <c r="J1057" s="49"/>
      <c r="K1057" s="49"/>
      <c r="L1057" s="50">
        <f>+D1070</f>
        <v>200000</v>
      </c>
      <c r="M1057" s="93">
        <f>-L1057</f>
        <v>-200000</v>
      </c>
      <c r="N1057" s="25"/>
    </row>
    <row r="1058" spans="1:15" ht="15.95" customHeight="1" x14ac:dyDescent="0.25">
      <c r="A1058" s="121"/>
      <c r="B1058" s="23"/>
      <c r="C1058" s="59"/>
      <c r="D1058" s="132"/>
      <c r="E1058" s="133"/>
      <c r="F1058" s="31"/>
      <c r="G1058" s="87"/>
      <c r="H1058" s="51">
        <f>IF(DAY(H1057)=DAY($H$1057),IF(WEEKDAY(EDATE(H1057,$D$1071),3)&lt;5,EDATE(H1057,$D$1071),WORKDAY(EDATE(H1057,$D$1071),1)),IF(WEEKDAY(EDATE($H$1057,$D$1071*COUNT($H$1057:H1057)),3)&lt;5,EDATE($H$1057,$D$1071*COUNT($H$1057:H1057)),WORKDAY(EDATE($H$1057,$D$1071*COUNT($H$1057:H1057)),1)))</f>
        <v>43399</v>
      </c>
      <c r="I1058" s="137" t="s">
        <v>13</v>
      </c>
      <c r="J1058" s="52">
        <f t="shared" ref="J1058:J1063" si="96">+(($D$1073/365)*(H1058-H1057))*L1057</f>
        <v>7019.1780821917819</v>
      </c>
      <c r="K1058" s="52">
        <f>+IF(OR(I1058="A + C",I1058="A"),$L$1057*$D$1074,0)</f>
        <v>33320</v>
      </c>
      <c r="L1058" s="53">
        <f t="shared" ref="L1058:L1063" si="97">+L1057-K1058</f>
        <v>166680</v>
      </c>
      <c r="M1058" s="94">
        <f t="shared" ref="M1058:M1063" si="98">+J1058+K1058</f>
        <v>40339.178082191778</v>
      </c>
      <c r="N1058" s="25"/>
    </row>
    <row r="1059" spans="1:15" ht="20.100000000000001" customHeight="1" x14ac:dyDescent="0.25">
      <c r="A1059" s="121"/>
      <c r="B1059" s="23"/>
      <c r="C1059" s="60"/>
      <c r="D1059" s="134"/>
      <c r="E1059" s="135"/>
      <c r="F1059" s="34"/>
      <c r="G1059" s="88"/>
      <c r="H1059" s="51">
        <f>IF(DAY(H1058)=DAY($H$1057),IF(WEEKDAY(EDATE(H1058,$D$1071),3)&lt;5,EDATE(H1058,$D$1071),WORKDAY(EDATE(H1058,$D$1071),1)),IF(WEEKDAY(EDATE($H$1057,$D$1071*COUNT($H$1057:H1058)),3)&lt;5,EDATE($H$1057,$D$1071*COUNT($H$1057:H1058)),WORKDAY(EDATE($H$1057,$D$1071*COUNT($H$1057:H1058)),1)))</f>
        <v>43581</v>
      </c>
      <c r="I1059" s="137" t="s">
        <v>13</v>
      </c>
      <c r="J1059" s="52">
        <f t="shared" si="96"/>
        <v>5817.81698630137</v>
      </c>
      <c r="K1059" s="52">
        <f>+IF(OR(I1059="A + C",I1059="A"),$L$1057*$D$1074,0)</f>
        <v>33320</v>
      </c>
      <c r="L1059" s="53">
        <f t="shared" si="97"/>
        <v>133360</v>
      </c>
      <c r="M1059" s="94">
        <f t="shared" si="98"/>
        <v>39137.816986301368</v>
      </c>
      <c r="N1059" s="25"/>
    </row>
    <row r="1060" spans="1:15" ht="15.95" customHeight="1" x14ac:dyDescent="0.25">
      <c r="A1060" s="121"/>
      <c r="B1060" s="23"/>
      <c r="C1060" s="60"/>
      <c r="D1060" s="55" t="str">
        <f>B1048</f>
        <v>Fincas del Rosario I</v>
      </c>
      <c r="E1060" s="64"/>
      <c r="F1060" s="34"/>
      <c r="G1060" s="88">
        <f>J1050</f>
        <v>0</v>
      </c>
      <c r="H1060" s="51">
        <f>IF(DAY(H1059)=DAY($H$1057),IF(WEEKDAY(EDATE(H1059,$D$1071),3)&lt;5,EDATE(H1059,$D$1071),WORKDAY(EDATE(H1059,$D$1071),1)),IF(WEEKDAY(EDATE($H$1057,$D$1071*COUNT($H$1057:H1059)),3)&lt;5,EDATE($H$1057,$D$1071*COUNT($H$1057:H1059)),WORKDAY(EDATE($H$1057,$D$1071*COUNT($H$1057:H1059)),1)))</f>
        <v>43766</v>
      </c>
      <c r="I1060" s="137" t="s">
        <v>13</v>
      </c>
      <c r="J1060" s="52">
        <f t="shared" si="96"/>
        <v>4731.5397260273976</v>
      </c>
      <c r="K1060" s="52">
        <f>+IF(OR(I1060="A + C",I1060="A"),$L$1057*$D$1074,0)</f>
        <v>33320</v>
      </c>
      <c r="L1060" s="53">
        <f t="shared" si="97"/>
        <v>100040</v>
      </c>
      <c r="M1060" s="94">
        <f t="shared" si="98"/>
        <v>38051.539726027397</v>
      </c>
      <c r="N1060" s="25"/>
    </row>
    <row r="1061" spans="1:15" ht="15.95" customHeight="1" x14ac:dyDescent="0.25">
      <c r="A1061" s="121"/>
      <c r="B1061" s="32"/>
      <c r="D1061" s="644"/>
      <c r="E1061" s="660"/>
      <c r="F1061" s="34"/>
      <c r="G1061" s="88"/>
      <c r="H1061" s="51">
        <f>IF(DAY(H1060)=DAY($H$1057),IF(WEEKDAY(EDATE(H1060,$D$1071),3)&lt;5,EDATE(H1060,$D$1071),WORKDAY(EDATE(H1060,$D$1071),1)),IF(WEEKDAY(EDATE($H$1057,$D$1071*COUNT($H$1057:H1060)),3)&lt;5,EDATE($H$1057,$D$1071*COUNT($H$1057:H1060)),WORKDAY(EDATE($H$1057,$D$1071*COUNT($H$1057:H1060)),1)))</f>
        <v>43948</v>
      </c>
      <c r="I1061" s="137" t="s">
        <v>13</v>
      </c>
      <c r="J1061" s="52">
        <f t="shared" si="96"/>
        <v>3491.8071232876714</v>
      </c>
      <c r="K1061" s="52">
        <f>+IF(OR(I1061="A + C",I1061="A"),$L$1057*$D$1074,0)</f>
        <v>33320</v>
      </c>
      <c r="L1061" s="53">
        <f t="shared" si="97"/>
        <v>66720</v>
      </c>
      <c r="M1061" s="94">
        <f t="shared" si="98"/>
        <v>36811.807123287668</v>
      </c>
      <c r="N1061" s="25"/>
      <c r="O1061" s="194" t="str">
        <f>+D1209</f>
        <v>ON Pyme CNV Garantizada</v>
      </c>
    </row>
    <row r="1062" spans="1:15" ht="15.95" customHeight="1" x14ac:dyDescent="0.25">
      <c r="A1062" s="121"/>
      <c r="B1062" s="23"/>
      <c r="C1062" s="638" t="s">
        <v>36</v>
      </c>
      <c r="D1062" s="640"/>
      <c r="E1062" s="36"/>
      <c r="F1062" s="34"/>
      <c r="G1062" s="88"/>
      <c r="H1062" s="51">
        <f>IF(DAY(H1061)=DAY($H$1057),IF(WEEKDAY(EDATE(H1061,$D$1071),3)&lt;5,EDATE(H1061,$D$1071),WORKDAY(EDATE(H1061,$D$1071),1)),IF(WEEKDAY(EDATE($H$1057,$D$1071*COUNT($H$1057:H1061)),3)&lt;5,EDATE($H$1057,$D$1071*COUNT($H$1057:H1061)),WORKDAY(EDATE($H$1057,$D$1071*COUNT($H$1057:H1061)),1)))</f>
        <v>44130</v>
      </c>
      <c r="I1062" s="137" t="s">
        <v>13</v>
      </c>
      <c r="J1062" s="52">
        <f t="shared" si="96"/>
        <v>2328.8021917808219</v>
      </c>
      <c r="K1062" s="52">
        <f>+IF(OR(I1062="A + C",I1062="A"),$L$1057*$D$1074,0)</f>
        <v>33320</v>
      </c>
      <c r="L1062" s="53">
        <f t="shared" si="97"/>
        <v>33400</v>
      </c>
      <c r="M1062" s="94">
        <f t="shared" si="98"/>
        <v>35648.802191780822</v>
      </c>
      <c r="N1062" s="25"/>
    </row>
    <row r="1063" spans="1:15" ht="15.95" customHeight="1" x14ac:dyDescent="0.25">
      <c r="A1063" s="121"/>
      <c r="B1063" s="23"/>
      <c r="C1063" s="59"/>
      <c r="D1063" s="62"/>
      <c r="E1063" s="36"/>
      <c r="F1063" s="36"/>
      <c r="G1063" s="89"/>
      <c r="H1063" s="51">
        <f>IF(DAY(H1062)=DAY($H$1057),IF(WEEKDAY(EDATE(H1062,$D$1071),3)&lt;5,EDATE(H1062,$D$1071),WORKDAY(EDATE(H1062,$D$1071),1)),IF(WEEKDAY(EDATE($H$1057,$D$1071*COUNT($H$1057:H1062)),3)&lt;5,EDATE($H$1057,$D$1071*COUNT($H$1057:H1062)),WORKDAY(EDATE($H$1057,$D$1071*COUNT($H$1057:H1062)),1)))</f>
        <v>44312</v>
      </c>
      <c r="I1063" s="137" t="s">
        <v>13</v>
      </c>
      <c r="J1063" s="52">
        <f t="shared" si="96"/>
        <v>1165.7972602739726</v>
      </c>
      <c r="K1063" s="52">
        <f>+IF(OR(I1063="A + C",I1063="A"),$L$1057*$D$1074,0)+80</f>
        <v>33400</v>
      </c>
      <c r="L1063" s="53">
        <f t="shared" si="97"/>
        <v>0</v>
      </c>
      <c r="M1063" s="94">
        <f t="shared" si="98"/>
        <v>34565.797260273976</v>
      </c>
      <c r="N1063" s="25"/>
      <c r="O1063" s="194" t="str">
        <f>+IF(J1207="vencida",IF(D1209='Reporte - Oscuro'!$C$40,'Reporte - Oscuro'!$C$40&amp;" vencida",IF(D1209='Reporte - Oscuro'!$C$41,'Reporte - Oscuro'!$C$41&amp;" vencida",IF(D1209='Reporte - Oscuro'!$C$42,'Reporte - Oscuro'!$C$42&amp;" vencida",'Reporte - Oscuro'!$C$43&amp;" vencida"))),D1209&amp;" vigente")</f>
        <v>ON Pyme CNV Garantizada vencida</v>
      </c>
    </row>
    <row r="1064" spans="1:15" ht="15.95" customHeight="1" x14ac:dyDescent="0.25">
      <c r="A1064" s="121"/>
      <c r="B1064" s="23"/>
      <c r="C1064" s="59" t="s">
        <v>9</v>
      </c>
      <c r="D1064" s="129" t="s">
        <v>49</v>
      </c>
      <c r="E1064" s="36"/>
      <c r="F1064" s="36"/>
      <c r="G1064" s="89"/>
      <c r="H1064" s="54"/>
      <c r="I1064" s="144"/>
      <c r="J1064" s="55"/>
      <c r="K1064" s="56"/>
      <c r="L1064" s="57"/>
      <c r="M1064" s="95"/>
      <c r="N1064" s="25"/>
    </row>
    <row r="1065" spans="1:15" ht="15.95" customHeight="1" x14ac:dyDescent="0.25">
      <c r="A1065" s="121"/>
      <c r="B1065" s="23"/>
      <c r="C1065" s="59" t="s">
        <v>51</v>
      </c>
      <c r="D1065" s="138" t="s">
        <v>49</v>
      </c>
      <c r="E1065" s="36"/>
      <c r="F1065" s="36"/>
      <c r="G1065" s="89"/>
      <c r="H1065" s="24"/>
      <c r="I1065" s="24"/>
      <c r="J1065" s="24"/>
      <c r="K1065" s="24"/>
      <c r="L1065" s="24"/>
      <c r="M1065" s="24"/>
      <c r="N1065" s="25"/>
    </row>
    <row r="1066" spans="1:15" ht="15.95" customHeight="1" x14ac:dyDescent="0.25">
      <c r="A1066" s="121"/>
      <c r="B1066" s="23"/>
      <c r="C1066" s="59" t="s">
        <v>52</v>
      </c>
      <c r="D1066" s="138" t="s">
        <v>49</v>
      </c>
      <c r="E1066" s="36"/>
      <c r="F1066" s="36"/>
      <c r="G1066" s="89"/>
      <c r="H1066" s="680" t="s">
        <v>43</v>
      </c>
      <c r="I1066" s="680"/>
      <c r="J1066" s="92">
        <v>0</v>
      </c>
      <c r="K1066" s="92"/>
      <c r="L1066" s="24"/>
      <c r="M1066" s="33"/>
      <c r="N1066" s="25"/>
    </row>
    <row r="1067" spans="1:15" ht="15.95" customHeight="1" x14ac:dyDescent="0.25">
      <c r="A1067" s="121"/>
      <c r="B1067" s="23"/>
      <c r="C1067" s="59" t="s">
        <v>10</v>
      </c>
      <c r="D1067" s="139">
        <v>43214</v>
      </c>
      <c r="E1067" s="36"/>
      <c r="F1067" s="36"/>
      <c r="G1067" s="89"/>
      <c r="H1067" s="657"/>
      <c r="I1067" s="657"/>
      <c r="J1067" s="392"/>
      <c r="K1067" s="24"/>
      <c r="L1067" s="33"/>
      <c r="M1067" s="33"/>
      <c r="N1067" s="25"/>
    </row>
    <row r="1068" spans="1:15" ht="15.95" customHeight="1" x14ac:dyDescent="0.25">
      <c r="A1068" s="121"/>
      <c r="B1068" s="23"/>
      <c r="C1068" s="59" t="s">
        <v>11</v>
      </c>
      <c r="D1068" s="139">
        <v>43216</v>
      </c>
      <c r="E1068" s="41"/>
      <c r="F1068" s="24"/>
      <c r="G1068" s="89"/>
      <c r="H1068" s="24"/>
      <c r="I1068" s="24"/>
      <c r="J1068" s="24"/>
      <c r="K1068" s="24"/>
      <c r="L1068" s="24"/>
      <c r="M1068" s="24"/>
      <c r="N1068" s="25"/>
      <c r="O1068" s="97">
        <f>+M1212</f>
        <v>-150000</v>
      </c>
    </row>
    <row r="1069" spans="1:15" ht="15.95" customHeight="1" x14ac:dyDescent="0.25">
      <c r="A1069" s="121"/>
      <c r="B1069" s="23"/>
      <c r="C1069" s="59" t="s">
        <v>12</v>
      </c>
      <c r="D1069" s="139">
        <v>44312</v>
      </c>
      <c r="E1069" s="36"/>
      <c r="F1069" s="24"/>
      <c r="G1069" s="90"/>
      <c r="H1069" s="638" t="s">
        <v>44</v>
      </c>
      <c r="I1069" s="639"/>
      <c r="J1069" s="639"/>
      <c r="K1069" s="639"/>
      <c r="L1069" s="639"/>
      <c r="M1069" s="640"/>
      <c r="N1069" s="25"/>
      <c r="O1069" s="97">
        <f t="shared" ref="O1069:O1074" si="99">+M1213+O1068</f>
        <v>-117605.30136986301</v>
      </c>
    </row>
    <row r="1070" spans="1:15" ht="15.95" customHeight="1" x14ac:dyDescent="0.25">
      <c r="A1070" s="121"/>
      <c r="B1070" s="23"/>
      <c r="C1070" s="59" t="s">
        <v>27</v>
      </c>
      <c r="D1070" s="140">
        <v>200000</v>
      </c>
      <c r="E1070" s="43"/>
      <c r="F1070" s="24"/>
      <c r="G1070" s="90"/>
      <c r="H1070" s="23"/>
      <c r="I1070" s="24"/>
      <c r="J1070" s="24"/>
      <c r="K1070" s="24"/>
      <c r="L1070" s="24"/>
      <c r="M1070" s="25"/>
      <c r="N1070" s="25"/>
      <c r="O1070" s="97">
        <f t="shared" si="99"/>
        <v>-86408.63123835616</v>
      </c>
    </row>
    <row r="1071" spans="1:15" ht="15.95" customHeight="1" x14ac:dyDescent="0.25">
      <c r="A1071" s="121"/>
      <c r="B1071" s="23"/>
      <c r="C1071" s="59" t="s">
        <v>26</v>
      </c>
      <c r="D1071" s="140">
        <v>6</v>
      </c>
      <c r="E1071" s="43"/>
      <c r="F1071" s="24"/>
      <c r="G1071" s="90"/>
      <c r="H1071" s="23"/>
      <c r="I1071" s="24"/>
      <c r="J1071" s="24"/>
      <c r="K1071" s="24"/>
      <c r="L1071" s="24"/>
      <c r="M1071" s="25"/>
      <c r="N1071" s="25"/>
      <c r="O1071" s="97">
        <f t="shared" si="99"/>
        <v>-56450.592345205478</v>
      </c>
    </row>
    <row r="1072" spans="1:15" ht="15.95" customHeight="1" x14ac:dyDescent="0.25">
      <c r="A1072" s="121"/>
      <c r="B1072" s="23"/>
      <c r="C1072" s="59" t="s">
        <v>19</v>
      </c>
      <c r="D1072" s="141" t="s">
        <v>50</v>
      </c>
      <c r="E1072" s="43"/>
      <c r="F1072" s="24"/>
      <c r="G1072" s="90"/>
      <c r="H1072" s="96"/>
      <c r="I1072" s="35"/>
      <c r="J1072" s="24"/>
      <c r="K1072" s="24"/>
      <c r="L1072" s="24"/>
      <c r="M1072" s="25"/>
      <c r="N1072" s="25"/>
      <c r="O1072" s="97">
        <f t="shared" si="99"/>
        <v>-27731.184690410963</v>
      </c>
    </row>
    <row r="1073" spans="1:15" ht="15.95" customHeight="1" x14ac:dyDescent="0.25">
      <c r="A1073" s="121"/>
      <c r="B1073" s="23"/>
      <c r="C1073" s="59" t="s">
        <v>14</v>
      </c>
      <c r="D1073" s="142">
        <v>7.0000000000000007E-2</v>
      </c>
      <c r="E1073" s="44"/>
      <c r="F1073" s="24"/>
      <c r="G1073" s="90"/>
      <c r="H1073" s="23"/>
      <c r="I1073" s="24"/>
      <c r="J1073" s="24"/>
      <c r="K1073" s="24"/>
      <c r="L1073" s="24"/>
      <c r="M1073" s="25"/>
      <c r="N1073" s="25"/>
      <c r="O1073" s="97">
        <f t="shared" si="99"/>
        <v>-278.93710684932012</v>
      </c>
    </row>
    <row r="1074" spans="1:15" ht="15.95" customHeight="1" x14ac:dyDescent="0.25">
      <c r="A1074" s="121"/>
      <c r="B1074" s="23"/>
      <c r="C1074" s="59" t="s">
        <v>21</v>
      </c>
      <c r="D1074" s="143">
        <v>0.1666</v>
      </c>
      <c r="E1074" s="24"/>
      <c r="F1074" s="24"/>
      <c r="G1074" s="90"/>
      <c r="H1074" s="23"/>
      <c r="I1074" s="24"/>
      <c r="J1074" s="24"/>
      <c r="K1074" s="24"/>
      <c r="L1074" s="24"/>
      <c r="M1074" s="25"/>
      <c r="N1074" s="25"/>
      <c r="O1074" s="97">
        <f t="shared" si="99"/>
        <v>25962.47993424657</v>
      </c>
    </row>
    <row r="1075" spans="1:15" ht="15.95" customHeight="1" x14ac:dyDescent="0.25">
      <c r="A1075" s="121"/>
      <c r="B1075" s="23"/>
      <c r="C1075" s="63"/>
      <c r="D1075" s="145"/>
      <c r="E1075" s="24"/>
      <c r="F1075" s="24"/>
      <c r="G1075" s="90"/>
      <c r="H1075" s="23"/>
      <c r="I1075" s="24"/>
      <c r="J1075" s="24"/>
      <c r="K1075" s="24"/>
      <c r="L1075" s="24"/>
      <c r="M1075" s="25"/>
      <c r="N1075" s="25"/>
    </row>
    <row r="1076" spans="1:15" ht="15.95" customHeight="1" x14ac:dyDescent="0.25">
      <c r="A1076" s="121"/>
      <c r="B1076" s="23"/>
      <c r="C1076" s="24"/>
      <c r="D1076" s="24"/>
      <c r="E1076" s="24"/>
      <c r="F1076" s="24"/>
      <c r="G1076" s="90"/>
      <c r="H1076" s="23"/>
      <c r="I1076" s="24"/>
      <c r="J1076" s="24"/>
      <c r="K1076" s="24"/>
      <c r="L1076" s="24"/>
      <c r="M1076" s="25"/>
      <c r="N1076" s="25"/>
    </row>
    <row r="1077" spans="1:15" ht="15.95" customHeight="1" x14ac:dyDescent="0.25">
      <c r="A1077" s="121"/>
      <c r="B1077" s="23"/>
      <c r="C1077" s="24"/>
      <c r="D1077" s="24"/>
      <c r="E1077" s="24"/>
      <c r="F1077" s="24"/>
      <c r="G1077" s="90"/>
      <c r="H1077" s="23"/>
      <c r="I1077" s="24"/>
      <c r="J1077" s="24"/>
      <c r="K1077" s="24"/>
      <c r="L1077" s="24"/>
      <c r="M1077" s="25"/>
      <c r="N1077" s="25"/>
    </row>
    <row r="1078" spans="1:15" ht="15.95" customHeight="1" x14ac:dyDescent="0.25">
      <c r="A1078" s="121"/>
      <c r="B1078" s="23"/>
      <c r="C1078" s="24"/>
      <c r="D1078" s="24"/>
      <c r="E1078" s="24"/>
      <c r="F1078" s="24"/>
      <c r="G1078" s="90"/>
      <c r="H1078" s="23"/>
      <c r="I1078" s="24"/>
      <c r="J1078" s="24"/>
      <c r="K1078" s="24"/>
      <c r="L1078" s="24"/>
      <c r="M1078" s="25"/>
      <c r="N1078" s="25"/>
    </row>
    <row r="1079" spans="1:15" ht="15.95" customHeight="1" x14ac:dyDescent="0.25">
      <c r="A1079" s="121"/>
      <c r="B1079" s="23"/>
      <c r="C1079" s="24"/>
      <c r="D1079" s="24"/>
      <c r="E1079" s="24"/>
      <c r="F1079" s="24"/>
      <c r="G1079" s="90"/>
      <c r="H1079" s="23"/>
      <c r="I1079" s="24"/>
      <c r="J1079" s="24"/>
      <c r="K1079" s="24"/>
      <c r="L1079" s="24"/>
      <c r="M1079" s="25"/>
      <c r="N1079" s="25"/>
    </row>
    <row r="1080" spans="1:15" ht="15.95" customHeight="1" x14ac:dyDescent="0.25">
      <c r="A1080" s="121"/>
      <c r="B1080" s="23"/>
      <c r="C1080" s="24"/>
      <c r="D1080" s="24"/>
      <c r="E1080" s="24"/>
      <c r="F1080" s="24"/>
      <c r="G1080" s="90"/>
      <c r="H1080" s="23"/>
      <c r="I1080" s="24"/>
      <c r="J1080" s="24"/>
      <c r="K1080" s="24"/>
      <c r="L1080" s="24"/>
      <c r="M1080" s="25"/>
      <c r="N1080" s="25"/>
    </row>
    <row r="1081" spans="1:15" ht="15.95" customHeight="1" x14ac:dyDescent="0.25">
      <c r="A1081" s="121"/>
      <c r="B1081" s="23"/>
      <c r="C1081" s="24"/>
      <c r="D1081" s="24"/>
      <c r="E1081" s="24"/>
      <c r="F1081" s="24"/>
      <c r="G1081" s="90"/>
      <c r="H1081" s="26"/>
      <c r="I1081" s="27"/>
      <c r="J1081" s="27"/>
      <c r="K1081" s="27"/>
      <c r="L1081" s="27"/>
      <c r="M1081" s="28"/>
      <c r="N1081" s="25"/>
    </row>
    <row r="1082" spans="1:15" ht="15.95" customHeight="1" x14ac:dyDescent="0.25">
      <c r="A1082" s="121"/>
      <c r="B1082" s="26"/>
      <c r="C1082" s="85"/>
      <c r="D1082" s="27"/>
      <c r="E1082" s="27"/>
      <c r="F1082" s="27"/>
      <c r="G1082" s="91"/>
      <c r="H1082" s="27"/>
      <c r="I1082" s="27"/>
      <c r="J1082" s="27"/>
      <c r="K1082" s="27"/>
      <c r="L1082" s="27"/>
      <c r="M1082" s="27"/>
      <c r="N1082" s="28"/>
    </row>
    <row r="1083" spans="1:15" ht="15.95" customHeight="1" x14ac:dyDescent="0.25">
      <c r="A1083" s="121"/>
      <c r="B1083" s="23"/>
      <c r="C1083" s="24"/>
      <c r="D1083" s="24"/>
      <c r="E1083" s="24"/>
      <c r="F1083" s="24"/>
      <c r="G1083" s="24"/>
      <c r="H1083" s="24"/>
      <c r="I1083" s="24"/>
      <c r="J1083" s="24"/>
      <c r="K1083" s="24"/>
      <c r="L1083" s="24"/>
      <c r="M1083" s="24"/>
      <c r="N1083" s="25"/>
    </row>
    <row r="1084" spans="1:15" ht="15.95" customHeight="1" x14ac:dyDescent="0.25">
      <c r="A1084" s="121"/>
      <c r="B1084" s="23"/>
      <c r="C1084" s="24"/>
      <c r="D1084" s="24"/>
      <c r="E1084" s="24"/>
      <c r="F1084" s="24"/>
      <c r="G1084" s="24"/>
      <c r="H1084" s="24"/>
      <c r="I1084" s="24"/>
      <c r="J1084" s="24"/>
      <c r="K1084" s="24"/>
      <c r="L1084" s="24"/>
      <c r="M1084" s="24"/>
      <c r="N1084" s="25"/>
    </row>
    <row r="1085" spans="1:15" ht="15.95" customHeight="1" x14ac:dyDescent="0.25">
      <c r="A1085" s="122" t="s">
        <v>124</v>
      </c>
      <c r="B1085" s="683" t="s">
        <v>242</v>
      </c>
      <c r="C1085" s="684"/>
      <c r="D1085" s="684"/>
      <c r="E1085" s="684"/>
      <c r="F1085" s="684"/>
      <c r="G1085" s="684"/>
      <c r="H1085" s="684"/>
      <c r="I1085" s="684"/>
      <c r="J1085" s="684"/>
      <c r="K1085" s="684"/>
      <c r="L1085" s="684"/>
      <c r="M1085" s="684"/>
      <c r="N1085" s="685"/>
    </row>
    <row r="1086" spans="1:15" ht="15.95" customHeight="1" x14ac:dyDescent="0.25">
      <c r="A1086" s="121"/>
      <c r="B1086" s="23"/>
      <c r="C1086" s="24"/>
      <c r="D1086" s="24"/>
      <c r="E1086" s="24"/>
      <c r="F1086" s="31"/>
      <c r="G1086" s="87"/>
      <c r="H1086" s="31"/>
      <c r="I1086" s="31"/>
      <c r="J1086" s="24"/>
      <c r="K1086" s="24"/>
      <c r="L1086" s="24"/>
      <c r="M1086" s="24"/>
      <c r="N1086" s="25"/>
    </row>
    <row r="1087" spans="1:15" ht="15.95" customHeight="1" x14ac:dyDescent="0.25">
      <c r="A1087" s="121"/>
      <c r="B1087" s="23"/>
      <c r="C1087" s="638" t="s">
        <v>37</v>
      </c>
      <c r="D1087" s="639"/>
      <c r="E1087" s="640"/>
      <c r="F1087" s="31"/>
      <c r="G1087" s="87"/>
      <c r="H1087" s="641" t="s">
        <v>28</v>
      </c>
      <c r="I1087" s="642"/>
      <c r="J1087" s="39">
        <f>+$D$1107-SUMIF($H$1093:$H$1107,"&lt;"&amp;$M$4,$K$1093:$K$1107)</f>
        <v>0</v>
      </c>
      <c r="K1087" s="24"/>
      <c r="L1087" s="24"/>
      <c r="M1087" s="24"/>
      <c r="N1087" s="25"/>
    </row>
    <row r="1088" spans="1:15" ht="15.95" customHeight="1" x14ac:dyDescent="0.25">
      <c r="A1088" s="121"/>
      <c r="B1088" s="23"/>
      <c r="C1088" s="58"/>
      <c r="D1088" s="664"/>
      <c r="E1088" s="665"/>
      <c r="F1088" s="31"/>
      <c r="G1088" s="87"/>
      <c r="H1088" s="645" t="s">
        <v>29</v>
      </c>
      <c r="I1088" s="646"/>
      <c r="J1088" s="40">
        <f>+$D$1106</f>
        <v>44648</v>
      </c>
      <c r="K1088" s="24"/>
      <c r="L1088" s="24"/>
      <c r="M1088" s="24"/>
      <c r="N1088" s="25"/>
    </row>
    <row r="1089" spans="1:15" ht="15.95" customHeight="1" x14ac:dyDescent="0.25">
      <c r="A1089" s="121"/>
      <c r="B1089" s="23"/>
      <c r="C1089" s="59" t="s">
        <v>25</v>
      </c>
      <c r="D1089" s="681"/>
      <c r="E1089" s="682"/>
      <c r="F1089" s="31"/>
      <c r="G1089" s="87"/>
      <c r="H1089" s="649" t="s">
        <v>30</v>
      </c>
      <c r="I1089" s="650"/>
      <c r="J1089" s="42" t="str">
        <f t="array" ref="J1089">+IF(H1106&gt;=M4,MIN(IF($H$1093:$H$1107&gt;$M$4,$H$1093:$H$1107,"")),"vencida")</f>
        <v>vencida</v>
      </c>
      <c r="K1089" s="24"/>
      <c r="L1089" s="24"/>
      <c r="M1089" s="24"/>
      <c r="N1089" s="25"/>
    </row>
    <row r="1090" spans="1:15" ht="15.95" customHeight="1" x14ac:dyDescent="0.25">
      <c r="A1090" s="121"/>
      <c r="B1090" s="23"/>
      <c r="C1090" s="59" t="s">
        <v>6</v>
      </c>
      <c r="D1090" s="681" t="s">
        <v>243</v>
      </c>
      <c r="E1090" s="682"/>
      <c r="F1090" s="31"/>
      <c r="G1090" s="87"/>
      <c r="H1090" s="24"/>
      <c r="I1090" s="24"/>
      <c r="J1090" s="24"/>
      <c r="K1090" s="24"/>
      <c r="L1090" s="24"/>
      <c r="M1090" s="24"/>
      <c r="N1090" s="25"/>
    </row>
    <row r="1091" spans="1:15" ht="15.95" customHeight="1" x14ac:dyDescent="0.25">
      <c r="A1091" s="121"/>
      <c r="B1091" s="23"/>
      <c r="C1091" s="59" t="s">
        <v>8</v>
      </c>
      <c r="D1091" s="681" t="s">
        <v>17</v>
      </c>
      <c r="E1091" s="682"/>
      <c r="F1091" s="31"/>
      <c r="G1091" s="87"/>
      <c r="H1091" s="651" t="s">
        <v>41</v>
      </c>
      <c r="I1091" s="652"/>
      <c r="J1091" s="652"/>
      <c r="K1091" s="652"/>
      <c r="L1091" s="653"/>
      <c r="M1091" s="24"/>
      <c r="N1091" s="25"/>
    </row>
    <row r="1092" spans="1:15" ht="15.95" customHeight="1" x14ac:dyDescent="0.25">
      <c r="A1092" s="121"/>
      <c r="B1092" s="23"/>
      <c r="C1092" s="59" t="s">
        <v>33</v>
      </c>
      <c r="D1092" s="132" t="s">
        <v>309</v>
      </c>
      <c r="E1092" s="274">
        <v>1</v>
      </c>
      <c r="F1092" s="281">
        <f>+E1092*J1087</f>
        <v>0</v>
      </c>
      <c r="G1092" s="87"/>
      <c r="H1092" s="126" t="s">
        <v>0</v>
      </c>
      <c r="I1092" s="127" t="s">
        <v>2</v>
      </c>
      <c r="J1092" s="127" t="s">
        <v>3</v>
      </c>
      <c r="K1092" s="127" t="s">
        <v>4</v>
      </c>
      <c r="L1092" s="128" t="s">
        <v>5</v>
      </c>
      <c r="M1092" s="127" t="s">
        <v>44</v>
      </c>
      <c r="N1092" s="25"/>
    </row>
    <row r="1093" spans="1:15" ht="15.95" customHeight="1" x14ac:dyDescent="0.25">
      <c r="A1093" s="121"/>
      <c r="B1093" s="23"/>
      <c r="C1093" s="59" t="s">
        <v>34</v>
      </c>
      <c r="D1093" s="681" t="s">
        <v>48</v>
      </c>
      <c r="E1093" s="682"/>
      <c r="F1093" s="31"/>
      <c r="G1093" s="87"/>
      <c r="H1093" s="45"/>
      <c r="I1093" s="46"/>
      <c r="J1093" s="46"/>
      <c r="K1093" s="46"/>
      <c r="L1093" s="47"/>
      <c r="M1093" s="23"/>
      <c r="N1093" s="25"/>
    </row>
    <row r="1094" spans="1:15" ht="15.95" customHeight="1" x14ac:dyDescent="0.25">
      <c r="A1094" s="121"/>
      <c r="B1094" s="23"/>
      <c r="C1094" s="79" t="s">
        <v>38</v>
      </c>
      <c r="D1094" s="130"/>
      <c r="E1094" s="131"/>
      <c r="F1094" s="31"/>
      <c r="G1094" s="87"/>
      <c r="H1094" s="48">
        <f>+$D$1105</f>
        <v>43552</v>
      </c>
      <c r="I1094" s="136"/>
      <c r="J1094" s="49"/>
      <c r="K1094" s="49"/>
      <c r="L1094" s="50">
        <f>+D1107</f>
        <v>500000</v>
      </c>
      <c r="M1094" s="93">
        <f>-L1094</f>
        <v>-500000</v>
      </c>
      <c r="N1094" s="25"/>
    </row>
    <row r="1095" spans="1:15" ht="20.100000000000001" customHeight="1" x14ac:dyDescent="0.25">
      <c r="A1095" s="121"/>
      <c r="B1095" s="23"/>
      <c r="C1095" s="59"/>
      <c r="D1095" s="132"/>
      <c r="E1095" s="133"/>
      <c r="F1095" s="31"/>
      <c r="G1095" s="87"/>
      <c r="H1095" s="51">
        <f>IF(DAY(H1094)=DAY($H$1094),IF(WEEKDAY(EDATE(H1094,$D$1108),3)&lt;5,EDATE(H1094,$D$1108),WORKDAY(EDATE(H1094,$D$1108),1)),IF(WEEKDAY(EDATE($H$1094,$D$1108*COUNT($H$1094:H1094)),3)&lt;5,EDATE($H$1094,$D$1108*COUNT($H$1094:H1094)),WORKDAY(EDATE($H$1094,$D$1108*COUNT($H$1094:H1094)),1)))</f>
        <v>43644</v>
      </c>
      <c r="I1095" s="137" t="s">
        <v>7</v>
      </c>
      <c r="J1095" s="52">
        <f t="shared" ref="J1095:J1106" si="100">+(($D$1110/365)*(H1095-H1094))*L1094</f>
        <v>13863.013698630139</v>
      </c>
      <c r="K1095" s="52">
        <f t="shared" ref="K1095:K1106" si="101">+IF(OR(I1095="A + C",I1095="A"),$L$1094*$D$1111,0)</f>
        <v>0</v>
      </c>
      <c r="L1095" s="53">
        <f t="shared" ref="L1095:L1106" si="102">+L1094-K1095</f>
        <v>500000</v>
      </c>
      <c r="M1095" s="94">
        <f t="shared" ref="M1095:M1106" si="103">+J1095+K1095</f>
        <v>13863.013698630139</v>
      </c>
      <c r="N1095" s="25"/>
    </row>
    <row r="1096" spans="1:15" ht="15.95" customHeight="1" x14ac:dyDescent="0.25">
      <c r="A1096" s="121"/>
      <c r="B1096" s="23"/>
      <c r="C1096" s="60"/>
      <c r="D1096" s="134"/>
      <c r="E1096" s="135"/>
      <c r="F1096" s="34"/>
      <c r="G1096" s="88"/>
      <c r="H1096" s="51">
        <f>IF(DAY(H1095)=DAY($H$1094),IF(WEEKDAY(EDATE(H1095,$D$1108),3)&lt;5,EDATE(H1095,$D$1108),WORKDAY(EDATE(H1095,$D$1108),1)),IF(WEEKDAY(EDATE($H$1094,$D$1108*COUNT($H$1094:H1095)),3)&lt;5,EDATE($H$1094,$D$1108*COUNT($H$1094:H1095)),WORKDAY(EDATE($H$1094,$D$1108*COUNT($H$1094:H1095)),1)))</f>
        <v>43738</v>
      </c>
      <c r="I1096" s="137" t="s">
        <v>7</v>
      </c>
      <c r="J1096" s="52">
        <f t="shared" si="100"/>
        <v>14164.383561643837</v>
      </c>
      <c r="K1096" s="52">
        <f t="shared" si="101"/>
        <v>0</v>
      </c>
      <c r="L1096" s="53">
        <f t="shared" si="102"/>
        <v>500000</v>
      </c>
      <c r="M1096" s="94">
        <f t="shared" si="103"/>
        <v>14164.383561643837</v>
      </c>
      <c r="N1096" s="25"/>
    </row>
    <row r="1097" spans="1:15" ht="20.100000000000001" customHeight="1" x14ac:dyDescent="0.25">
      <c r="A1097" s="121"/>
      <c r="B1097" s="23"/>
      <c r="C1097" s="60"/>
      <c r="D1097" s="55" t="str">
        <f>B1085</f>
        <v>Gabriel E. Kelly I</v>
      </c>
      <c r="E1097" s="64"/>
      <c r="F1097" s="34"/>
      <c r="G1097" s="88">
        <f>J1087</f>
        <v>0</v>
      </c>
      <c r="H1097" s="51">
        <f>IF(DAY(H1096)=DAY($H$1094),IF(WEEKDAY(EDATE(H1096,$D$1108),3)&lt;5,EDATE(H1096,$D$1108),WORKDAY(EDATE(H1096,$D$1108),1)),IF(WEEKDAY(EDATE($H$1094,$D$1108*COUNT($H$1094:H1096)),3)&lt;5,EDATE($H$1094,$D$1108*COUNT($H$1094:H1096)),WORKDAY(EDATE($H$1094,$D$1108*COUNT($H$1094:H1096)),1)))</f>
        <v>43829</v>
      </c>
      <c r="I1097" s="137" t="s">
        <v>13</v>
      </c>
      <c r="J1097" s="52">
        <f t="shared" si="100"/>
        <v>13712.328767123288</v>
      </c>
      <c r="K1097" s="52">
        <f t="shared" si="101"/>
        <v>50000</v>
      </c>
      <c r="L1097" s="53">
        <f t="shared" si="102"/>
        <v>450000</v>
      </c>
      <c r="M1097" s="94">
        <f t="shared" si="103"/>
        <v>63712.32876712329</v>
      </c>
      <c r="N1097" s="25"/>
    </row>
    <row r="1098" spans="1:15" ht="15.95" customHeight="1" x14ac:dyDescent="0.25">
      <c r="A1098" s="121"/>
      <c r="B1098" s="32"/>
      <c r="D1098" s="644"/>
      <c r="E1098" s="660"/>
      <c r="F1098" s="34"/>
      <c r="G1098" s="88"/>
      <c r="H1098" s="51">
        <f>IF(DAY(H1097)=DAY($H$1094),IF(WEEKDAY(EDATE(H1097,$D$1108),3)&lt;5,EDATE(H1097,$D$1108),WORKDAY(EDATE(H1097,$D$1108),1)),IF(WEEKDAY(EDATE($H$1094,$D$1108*COUNT($H$1094:H1097)),3)&lt;5,EDATE($H$1094,$D$1108*COUNT($H$1094:H1097)),WORKDAY(EDATE($H$1094,$D$1108*COUNT($H$1094:H1097)),1)))</f>
        <v>43920</v>
      </c>
      <c r="I1098" s="137" t="s">
        <v>13</v>
      </c>
      <c r="J1098" s="52">
        <f t="shared" si="100"/>
        <v>12341.095890410959</v>
      </c>
      <c r="K1098" s="52">
        <f t="shared" si="101"/>
        <v>50000</v>
      </c>
      <c r="L1098" s="53">
        <f t="shared" si="102"/>
        <v>400000</v>
      </c>
      <c r="M1098" s="94">
        <f t="shared" si="103"/>
        <v>62341.095890410958</v>
      </c>
      <c r="N1098" s="25"/>
    </row>
    <row r="1099" spans="1:15" ht="20.100000000000001" customHeight="1" x14ac:dyDescent="0.25">
      <c r="A1099" s="121"/>
      <c r="B1099" s="23"/>
      <c r="C1099" s="638" t="s">
        <v>36</v>
      </c>
      <c r="D1099" s="640"/>
      <c r="E1099" s="36"/>
      <c r="F1099" s="34"/>
      <c r="G1099" s="88"/>
      <c r="H1099" s="51">
        <f>IF(DAY(H1098)=DAY($H$1094),IF(WEEKDAY(EDATE(H1098,$D$1108),3)&lt;5,EDATE(H1098,$D$1108),WORKDAY(EDATE(H1098,$D$1108),1)),IF(WEEKDAY(EDATE($H$1094,$D$1108*COUNT($H$1094:H1098)),3)&lt;5,EDATE($H$1094,$D$1108*COUNT($H$1094:H1098)),WORKDAY(EDATE($H$1094,$D$1108*COUNT($H$1094:H1098)),1)))</f>
        <v>44011</v>
      </c>
      <c r="I1099" s="137" t="s">
        <v>13</v>
      </c>
      <c r="J1099" s="52">
        <f t="shared" si="100"/>
        <v>10969.86301369863</v>
      </c>
      <c r="K1099" s="52">
        <f t="shared" si="101"/>
        <v>50000</v>
      </c>
      <c r="L1099" s="53">
        <f t="shared" si="102"/>
        <v>350000</v>
      </c>
      <c r="M1099" s="94">
        <f t="shared" si="103"/>
        <v>60969.863013698632</v>
      </c>
      <c r="N1099" s="25"/>
    </row>
    <row r="1100" spans="1:15" ht="15.95" customHeight="1" x14ac:dyDescent="0.25">
      <c r="A1100" s="121"/>
      <c r="B1100" s="23"/>
      <c r="C1100" s="59"/>
      <c r="D1100" s="62"/>
      <c r="E1100" s="36"/>
      <c r="F1100" s="36"/>
      <c r="G1100" s="89"/>
      <c r="H1100" s="51">
        <f>IF(DAY(H1099)=DAY($H$1094),IF(WEEKDAY(EDATE(H1099,$D$1108),3)&lt;5,EDATE(H1099,$D$1108),WORKDAY(EDATE(H1099,$D$1108),1)),IF(WEEKDAY(EDATE($H$1094,$D$1108*COUNT($H$1094:H1099)),3)&lt;5,EDATE($H$1094,$D$1108*COUNT($H$1094:H1099)),WORKDAY(EDATE($H$1094,$D$1108*COUNT($H$1094:H1099)),1)))</f>
        <v>44102</v>
      </c>
      <c r="I1100" s="137" t="s">
        <v>13</v>
      </c>
      <c r="J1100" s="52">
        <f t="shared" si="100"/>
        <v>9598.6301369863013</v>
      </c>
      <c r="K1100" s="52">
        <f t="shared" si="101"/>
        <v>50000</v>
      </c>
      <c r="L1100" s="53">
        <f t="shared" si="102"/>
        <v>300000</v>
      </c>
      <c r="M1100" s="94">
        <f t="shared" si="103"/>
        <v>59598.630136986299</v>
      </c>
      <c r="N1100" s="25"/>
    </row>
    <row r="1101" spans="1:15" ht="15.95" customHeight="1" x14ac:dyDescent="0.25">
      <c r="A1101" s="121"/>
      <c r="B1101" s="23"/>
      <c r="C1101" s="59" t="s">
        <v>9</v>
      </c>
      <c r="D1101" s="129" t="s">
        <v>49</v>
      </c>
      <c r="E1101" s="36"/>
      <c r="F1101" s="36"/>
      <c r="G1101" s="89"/>
      <c r="H1101" s="51">
        <f>IF(DAY(H1100)=DAY($H$1094),IF(WEEKDAY(EDATE(H1100,$D$1108),3)&lt;5,EDATE(H1100,$D$1108),WORKDAY(EDATE(H1100,$D$1108),1)),IF(WEEKDAY(EDATE($H$1094,$D$1108*COUNT($H$1094:H1100)),3)&lt;5,EDATE($H$1094,$D$1108*COUNT($H$1094:H1100)),WORKDAY(EDATE($H$1094,$D$1108*COUNT($H$1094:H1100)),1)))</f>
        <v>44193</v>
      </c>
      <c r="I1101" s="137" t="s">
        <v>13</v>
      </c>
      <c r="J1101" s="52">
        <f t="shared" si="100"/>
        <v>8227.3972602739723</v>
      </c>
      <c r="K1101" s="52">
        <f t="shared" si="101"/>
        <v>50000</v>
      </c>
      <c r="L1101" s="53">
        <f t="shared" si="102"/>
        <v>250000</v>
      </c>
      <c r="M1101" s="94">
        <f t="shared" si="103"/>
        <v>58227.397260273974</v>
      </c>
      <c r="N1101" s="25"/>
      <c r="O1101" s="194" t="str">
        <f>+D1245</f>
        <v>ON Pyme CNV Garantizada</v>
      </c>
    </row>
    <row r="1102" spans="1:15" ht="15.95" customHeight="1" x14ac:dyDescent="0.25">
      <c r="A1102" s="121"/>
      <c r="B1102" s="23"/>
      <c r="C1102" s="59" t="s">
        <v>51</v>
      </c>
      <c r="D1102" s="138" t="s">
        <v>18</v>
      </c>
      <c r="E1102" s="36"/>
      <c r="F1102" s="36"/>
      <c r="G1102" s="89"/>
      <c r="H1102" s="51">
        <f>IF(DAY(H1101)=DAY($H$1094),IF(WEEKDAY(EDATE(H1101,$D$1108),3)&lt;5,EDATE(H1101,$D$1108),WORKDAY(EDATE(H1101,$D$1108),1)),IF(WEEKDAY(EDATE($H$1094,$D$1108*COUNT($H$1094:H1101)),3)&lt;5,EDATE($H$1094,$D$1108*COUNT($H$1094:H1101)),WORKDAY(EDATE($H$1094,$D$1108*COUNT($H$1094:H1101)),1)))</f>
        <v>44284</v>
      </c>
      <c r="I1102" s="137" t="s">
        <v>13</v>
      </c>
      <c r="J1102" s="52">
        <f t="shared" si="100"/>
        <v>6856.1643835616442</v>
      </c>
      <c r="K1102" s="52">
        <f t="shared" si="101"/>
        <v>50000</v>
      </c>
      <c r="L1102" s="53">
        <f t="shared" si="102"/>
        <v>200000</v>
      </c>
      <c r="M1102" s="94">
        <f t="shared" si="103"/>
        <v>56856.164383561641</v>
      </c>
      <c r="N1102" s="25"/>
    </row>
    <row r="1103" spans="1:15" ht="15.95" customHeight="1" x14ac:dyDescent="0.25">
      <c r="A1103" s="121"/>
      <c r="B1103" s="23"/>
      <c r="C1103" s="59" t="s">
        <v>52</v>
      </c>
      <c r="D1103" s="138" t="s">
        <v>18</v>
      </c>
      <c r="E1103" s="36"/>
      <c r="F1103" s="36"/>
      <c r="G1103" s="89"/>
      <c r="H1103" s="51">
        <f>IF(DAY(H1102)=DAY($H$1094),IF(WEEKDAY(EDATE(H1102,$D$1108),3)&lt;5,EDATE(H1102,$D$1108),WORKDAY(EDATE(H1102,$D$1108),1)),IF(WEEKDAY(EDATE($H$1094,$D$1108*COUNT($H$1094:H1102)),3)&lt;5,EDATE($H$1094,$D$1108*COUNT($H$1094:H1102)),WORKDAY(EDATE($H$1094,$D$1108*COUNT($H$1094:H1102)),1)))</f>
        <v>44375</v>
      </c>
      <c r="I1103" s="137" t="s">
        <v>13</v>
      </c>
      <c r="J1103" s="52">
        <f t="shared" si="100"/>
        <v>5484.9315068493152</v>
      </c>
      <c r="K1103" s="52">
        <f t="shared" si="101"/>
        <v>50000</v>
      </c>
      <c r="L1103" s="53">
        <f t="shared" si="102"/>
        <v>150000</v>
      </c>
      <c r="M1103" s="94">
        <f t="shared" si="103"/>
        <v>55484.931506849316</v>
      </c>
      <c r="N1103" s="25"/>
      <c r="O1103" s="194" t="str">
        <f>+IF(J1243="vencida",IF(D1245='Reporte - Oscuro'!$C$40,'Reporte - Oscuro'!$C$40&amp;" vencida",IF(D1245='Reporte - Oscuro'!$C$41,'Reporte - Oscuro'!$C$41&amp;" vencida",IF(D1245='Reporte - Oscuro'!$C$42,'Reporte - Oscuro'!$C$42&amp;" vencida",'Reporte - Oscuro'!$C$43&amp;" vencida"))),D1245&amp;" vigente")</f>
        <v>ON Pyme CNV Garantizada vencida</v>
      </c>
    </row>
    <row r="1104" spans="1:15" ht="15.95" customHeight="1" x14ac:dyDescent="0.25">
      <c r="A1104" s="121"/>
      <c r="B1104" s="23"/>
      <c r="C1104" s="59" t="s">
        <v>10</v>
      </c>
      <c r="D1104" s="139">
        <v>43545</v>
      </c>
      <c r="E1104" s="36"/>
      <c r="F1104" s="36"/>
      <c r="G1104" s="89"/>
      <c r="H1104" s="51">
        <f>IF(DAY(H1103)=DAY($H$1094),IF(WEEKDAY(EDATE(H1103,$D$1108),3)&lt;5,EDATE(H1103,$D$1108),WORKDAY(EDATE(H1103,$D$1108),1)),IF(WEEKDAY(EDATE($H$1094,$D$1108*COUNT($H$1094:H1103)),3)&lt;5,EDATE($H$1094,$D$1108*COUNT($H$1094:H1103)),WORKDAY(EDATE($H$1094,$D$1108*COUNT($H$1094:H1103)),1)))</f>
        <v>44467</v>
      </c>
      <c r="I1104" s="137" t="s">
        <v>13</v>
      </c>
      <c r="J1104" s="52">
        <f t="shared" si="100"/>
        <v>4158.9041095890416</v>
      </c>
      <c r="K1104" s="52">
        <f t="shared" si="101"/>
        <v>50000</v>
      </c>
      <c r="L1104" s="53">
        <f t="shared" si="102"/>
        <v>100000</v>
      </c>
      <c r="M1104" s="94">
        <f t="shared" si="103"/>
        <v>54158.904109589042</v>
      </c>
      <c r="N1104" s="25"/>
    </row>
    <row r="1105" spans="1:15" ht="15.95" customHeight="1" x14ac:dyDescent="0.25">
      <c r="A1105" s="121"/>
      <c r="B1105" s="23"/>
      <c r="C1105" s="59" t="s">
        <v>11</v>
      </c>
      <c r="D1105" s="139">
        <v>43552</v>
      </c>
      <c r="E1105" s="41"/>
      <c r="F1105" s="24"/>
      <c r="G1105" s="90"/>
      <c r="H1105" s="51">
        <f>IF(DAY(H1104)=DAY($H$1094),IF(WEEKDAY(EDATE(H1104,$D$1108),3)&lt;5,EDATE(H1104,$D$1108),WORKDAY(EDATE(H1104,$D$1108),1)),IF(WEEKDAY(EDATE($H$1094,$D$1108*COUNT($H$1094:H1104)),3)&lt;5,EDATE($H$1094,$D$1108*COUNT($H$1094:H1104)),WORKDAY(EDATE($H$1094,$D$1108*COUNT($H$1094:H1104)),1)))</f>
        <v>44558</v>
      </c>
      <c r="I1105" s="137" t="s">
        <v>13</v>
      </c>
      <c r="J1105" s="52">
        <f t="shared" si="100"/>
        <v>2742.4657534246576</v>
      </c>
      <c r="K1105" s="52">
        <f t="shared" si="101"/>
        <v>50000</v>
      </c>
      <c r="L1105" s="53">
        <f t="shared" si="102"/>
        <v>50000</v>
      </c>
      <c r="M1105" s="94">
        <f t="shared" si="103"/>
        <v>52742.465753424658</v>
      </c>
      <c r="N1105" s="25"/>
    </row>
    <row r="1106" spans="1:15" ht="15.95" customHeight="1" x14ac:dyDescent="0.25">
      <c r="A1106" s="121"/>
      <c r="B1106" s="23"/>
      <c r="C1106" s="59" t="s">
        <v>12</v>
      </c>
      <c r="D1106" s="139">
        <v>44648</v>
      </c>
      <c r="E1106" s="36"/>
      <c r="F1106" s="24"/>
      <c r="G1106" s="90"/>
      <c r="H1106" s="51">
        <f>IF(DAY(H1105)=DAY($H$1094),IF(WEEKDAY(EDATE(H1105,$D$1108),3)&lt;5,EDATE(H1105,$D$1108),WORKDAY(EDATE(H1105,$D$1108),1)),IF(WEEKDAY(EDATE($H$1094,$D$1108*COUNT($H$1094:H1105)),3)&lt;5,EDATE($H$1094,$D$1108*COUNT($H$1094:H1105)),WORKDAY(EDATE($H$1094,$D$1108*COUNT($H$1094:H1105)),1)))</f>
        <v>44648</v>
      </c>
      <c r="I1106" s="137" t="s">
        <v>13</v>
      </c>
      <c r="J1106" s="52">
        <f t="shared" si="100"/>
        <v>1356.1643835616439</v>
      </c>
      <c r="K1106" s="52">
        <f t="shared" si="101"/>
        <v>50000</v>
      </c>
      <c r="L1106" s="53">
        <f t="shared" si="102"/>
        <v>0</v>
      </c>
      <c r="M1106" s="94">
        <f t="shared" si="103"/>
        <v>51356.164383561641</v>
      </c>
      <c r="N1106" s="25"/>
    </row>
    <row r="1107" spans="1:15" ht="15.95" customHeight="1" x14ac:dyDescent="0.25">
      <c r="A1107" s="121"/>
      <c r="B1107" s="23"/>
      <c r="C1107" s="59" t="s">
        <v>27</v>
      </c>
      <c r="D1107" s="140">
        <v>500000</v>
      </c>
      <c r="E1107" s="43"/>
      <c r="F1107" s="24"/>
      <c r="G1107" s="90"/>
      <c r="H1107" s="54"/>
      <c r="I1107" s="144"/>
      <c r="J1107" s="55"/>
      <c r="K1107" s="56"/>
      <c r="L1107" s="57"/>
      <c r="M1107" s="109"/>
      <c r="N1107" s="25"/>
    </row>
    <row r="1108" spans="1:15" ht="15.95" customHeight="1" x14ac:dyDescent="0.25">
      <c r="A1108" s="121"/>
      <c r="B1108" s="23"/>
      <c r="C1108" s="59" t="s">
        <v>26</v>
      </c>
      <c r="D1108" s="140">
        <v>3</v>
      </c>
      <c r="E1108" s="43"/>
      <c r="F1108" s="24"/>
      <c r="G1108" s="90"/>
      <c r="H1108" s="24"/>
      <c r="I1108" s="24"/>
      <c r="J1108" s="24"/>
      <c r="K1108" s="24"/>
      <c r="L1108" s="24"/>
      <c r="M1108" s="24"/>
      <c r="N1108" s="25"/>
      <c r="O1108" s="97">
        <f>+M1248</f>
        <v>-500000</v>
      </c>
    </row>
    <row r="1109" spans="1:15" ht="15.95" customHeight="1" x14ac:dyDescent="0.25">
      <c r="A1109" s="121"/>
      <c r="B1109" s="23"/>
      <c r="C1109" s="59" t="s">
        <v>19</v>
      </c>
      <c r="D1109" s="141" t="s">
        <v>50</v>
      </c>
      <c r="E1109" s="43"/>
      <c r="F1109" s="24"/>
      <c r="G1109" s="90"/>
      <c r="H1109" s="680" t="s">
        <v>43</v>
      </c>
      <c r="I1109" s="680"/>
      <c r="J1109" s="92">
        <v>0</v>
      </c>
      <c r="K1109" s="92"/>
      <c r="L1109" s="24"/>
      <c r="M1109" s="33"/>
      <c r="N1109" s="25"/>
      <c r="O1109" s="97">
        <f>+M1249+O1108</f>
        <v>-356825.34246575343</v>
      </c>
    </row>
    <row r="1110" spans="1:15" ht="15.95" customHeight="1" x14ac:dyDescent="0.25">
      <c r="A1110" s="121"/>
      <c r="B1110" s="23"/>
      <c r="C1110" s="59" t="s">
        <v>14</v>
      </c>
      <c r="D1110" s="142">
        <v>0.11</v>
      </c>
      <c r="E1110" s="44"/>
      <c r="F1110" s="24"/>
      <c r="G1110" s="90"/>
      <c r="H1110" s="657"/>
      <c r="I1110" s="657"/>
      <c r="J1110" s="392"/>
      <c r="K1110" s="24"/>
      <c r="L1110" s="33"/>
      <c r="M1110" s="33"/>
      <c r="N1110" s="25"/>
      <c r="O1110" s="97">
        <f>+M1250+O1109</f>
        <v>-218268.83561643836</v>
      </c>
    </row>
    <row r="1111" spans="1:15" ht="15.95" customHeight="1" x14ac:dyDescent="0.25">
      <c r="A1111" s="121"/>
      <c r="B1111" s="23"/>
      <c r="C1111" s="59" t="s">
        <v>80</v>
      </c>
      <c r="D1111" s="143">
        <v>0.1</v>
      </c>
      <c r="E1111" s="24"/>
      <c r="F1111" s="24"/>
      <c r="G1111" s="90"/>
      <c r="H1111" s="24"/>
      <c r="I1111" s="24"/>
      <c r="J1111" s="24"/>
      <c r="K1111" s="24"/>
      <c r="L1111" s="24"/>
      <c r="M1111" s="24"/>
      <c r="N1111" s="25"/>
      <c r="O1111" s="97">
        <f>+M1251+O1110</f>
        <v>-84181.506849315076</v>
      </c>
    </row>
    <row r="1112" spans="1:15" ht="15.95" customHeight="1" x14ac:dyDescent="0.25">
      <c r="A1112" s="121"/>
      <c r="B1112" s="23"/>
      <c r="C1112" s="63"/>
      <c r="D1112" s="145"/>
      <c r="E1112" s="24"/>
      <c r="F1112" s="24"/>
      <c r="G1112" s="90"/>
      <c r="H1112" s="638" t="s">
        <v>44</v>
      </c>
      <c r="I1112" s="639"/>
      <c r="J1112" s="639"/>
      <c r="K1112" s="639"/>
      <c r="L1112" s="639"/>
      <c r="M1112" s="640"/>
      <c r="N1112" s="25"/>
      <c r="O1112" s="97">
        <f>+M1252+O1111</f>
        <v>45362.157534246566</v>
      </c>
    </row>
    <row r="1113" spans="1:15" ht="15.95" customHeight="1" x14ac:dyDescent="0.25">
      <c r="A1113" s="121"/>
      <c r="B1113" s="23"/>
      <c r="C1113" s="24"/>
      <c r="D1113" s="24"/>
      <c r="E1113" s="24"/>
      <c r="F1113" s="24"/>
      <c r="G1113" s="90"/>
      <c r="H1113" s="23"/>
      <c r="I1113" s="24"/>
      <c r="J1113" s="24"/>
      <c r="K1113" s="24"/>
      <c r="L1113" s="24"/>
      <c r="M1113" s="25"/>
      <c r="N1113" s="25"/>
    </row>
    <row r="1114" spans="1:15" ht="15.95" customHeight="1" x14ac:dyDescent="0.25">
      <c r="A1114" s="121"/>
      <c r="B1114" s="23"/>
      <c r="C1114" s="24"/>
      <c r="D1114" s="24"/>
      <c r="E1114" s="24"/>
      <c r="F1114" s="24"/>
      <c r="G1114" s="90"/>
      <c r="H1114" s="23"/>
      <c r="I1114" s="24"/>
      <c r="J1114" s="24"/>
      <c r="K1114" s="24"/>
      <c r="L1114" s="24"/>
      <c r="M1114" s="25"/>
      <c r="N1114" s="25"/>
    </row>
    <row r="1115" spans="1:15" ht="15.95" customHeight="1" x14ac:dyDescent="0.25">
      <c r="A1115" s="121"/>
      <c r="B1115" s="23"/>
      <c r="C1115" s="24"/>
      <c r="D1115" s="24"/>
      <c r="E1115" s="24"/>
      <c r="F1115" s="24"/>
      <c r="G1115" s="90"/>
      <c r="H1115" s="96"/>
      <c r="I1115" s="35"/>
      <c r="J1115" s="24"/>
      <c r="K1115" s="24"/>
      <c r="L1115" s="24"/>
      <c r="M1115" s="25"/>
      <c r="N1115" s="25"/>
    </row>
    <row r="1116" spans="1:15" ht="15.95" customHeight="1" x14ac:dyDescent="0.25">
      <c r="A1116" s="121"/>
      <c r="B1116" s="23"/>
      <c r="C1116" s="24"/>
      <c r="D1116" s="24"/>
      <c r="E1116" s="24"/>
      <c r="F1116" s="24"/>
      <c r="G1116" s="90"/>
      <c r="H1116" s="23"/>
      <c r="I1116" s="24"/>
      <c r="J1116" s="24"/>
      <c r="K1116" s="24"/>
      <c r="L1116" s="24"/>
      <c r="M1116" s="25"/>
      <c r="N1116" s="25"/>
    </row>
    <row r="1117" spans="1:15" ht="15.95" customHeight="1" x14ac:dyDescent="0.25">
      <c r="A1117" s="121"/>
      <c r="B1117" s="23"/>
      <c r="C1117" s="24"/>
      <c r="D1117" s="24"/>
      <c r="E1117" s="24"/>
      <c r="F1117" s="24"/>
      <c r="G1117" s="90"/>
      <c r="H1117" s="23"/>
      <c r="I1117" s="24"/>
      <c r="J1117" s="24"/>
      <c r="K1117" s="24"/>
      <c r="L1117" s="24"/>
      <c r="M1117" s="25"/>
      <c r="N1117" s="25"/>
    </row>
    <row r="1118" spans="1:15" ht="15.95" customHeight="1" x14ac:dyDescent="0.25">
      <c r="A1118" s="121"/>
      <c r="B1118" s="23"/>
      <c r="C1118" s="24"/>
      <c r="D1118" s="24"/>
      <c r="E1118" s="24"/>
      <c r="F1118" s="24"/>
      <c r="G1118" s="90"/>
      <c r="H1118" s="23"/>
      <c r="I1118" s="24"/>
      <c r="J1118" s="24"/>
      <c r="K1118" s="24"/>
      <c r="L1118" s="24"/>
      <c r="M1118" s="25"/>
      <c r="N1118" s="25"/>
    </row>
    <row r="1119" spans="1:15" ht="15.95" customHeight="1" x14ac:dyDescent="0.25">
      <c r="A1119" s="121"/>
      <c r="B1119" s="23"/>
      <c r="C1119" s="24"/>
      <c r="D1119" s="24"/>
      <c r="E1119" s="24"/>
      <c r="F1119" s="24"/>
      <c r="G1119" s="90"/>
      <c r="H1119" s="23"/>
      <c r="I1119" s="24"/>
      <c r="J1119" s="24"/>
      <c r="K1119" s="24"/>
      <c r="L1119" s="24"/>
      <c r="M1119" s="25"/>
      <c r="N1119" s="25"/>
    </row>
    <row r="1120" spans="1:15" ht="15.95" customHeight="1" x14ac:dyDescent="0.25">
      <c r="A1120" s="121"/>
      <c r="B1120" s="23"/>
      <c r="C1120" s="24"/>
      <c r="D1120" s="24"/>
      <c r="E1120" s="24"/>
      <c r="F1120" s="24"/>
      <c r="G1120" s="90"/>
      <c r="H1120" s="23"/>
      <c r="I1120" s="24"/>
      <c r="J1120" s="24"/>
      <c r="K1120" s="24"/>
      <c r="L1120" s="24"/>
      <c r="M1120" s="25"/>
      <c r="N1120" s="25"/>
    </row>
    <row r="1121" spans="1:15" ht="15.95" customHeight="1" x14ac:dyDescent="0.25">
      <c r="A1121" s="121"/>
      <c r="B1121" s="23"/>
      <c r="C1121" s="24"/>
      <c r="D1121" s="24"/>
      <c r="E1121" s="24"/>
      <c r="F1121" s="24"/>
      <c r="G1121" s="90"/>
      <c r="H1121" s="23"/>
      <c r="I1121" s="24"/>
      <c r="J1121" s="24"/>
      <c r="K1121" s="24"/>
      <c r="L1121" s="24"/>
      <c r="M1121" s="25"/>
      <c r="N1121" s="25"/>
    </row>
    <row r="1122" spans="1:15" ht="15.95" customHeight="1" x14ac:dyDescent="0.25">
      <c r="A1122" s="121"/>
      <c r="B1122" s="23"/>
      <c r="C1122" s="24"/>
      <c r="D1122" s="24"/>
      <c r="E1122" s="24"/>
      <c r="F1122" s="24"/>
      <c r="G1122" s="90"/>
      <c r="H1122" s="23"/>
      <c r="I1122" s="24"/>
      <c r="J1122" s="24"/>
      <c r="K1122" s="24"/>
      <c r="L1122" s="24"/>
      <c r="M1122" s="25"/>
      <c r="N1122" s="25"/>
    </row>
    <row r="1123" spans="1:15" ht="15.95" customHeight="1" x14ac:dyDescent="0.25">
      <c r="A1123" s="121"/>
      <c r="B1123" s="23"/>
      <c r="C1123" s="24"/>
      <c r="D1123" s="24"/>
      <c r="E1123" s="24"/>
      <c r="F1123" s="24"/>
      <c r="G1123" s="90"/>
      <c r="H1123" s="23"/>
      <c r="I1123" s="24"/>
      <c r="J1123" s="24"/>
      <c r="K1123" s="24"/>
      <c r="L1123" s="24"/>
      <c r="M1123" s="25"/>
      <c r="N1123" s="25"/>
    </row>
    <row r="1124" spans="1:15" ht="15.95" customHeight="1" x14ac:dyDescent="0.25">
      <c r="A1124" s="121"/>
      <c r="B1124" s="23"/>
      <c r="C1124" s="24"/>
      <c r="D1124" s="24"/>
      <c r="E1124" s="24"/>
      <c r="F1124" s="24"/>
      <c r="G1124" s="90"/>
      <c r="H1124" s="26"/>
      <c r="I1124" s="27"/>
      <c r="J1124" s="27"/>
      <c r="K1124" s="27"/>
      <c r="L1124" s="27"/>
      <c r="M1124" s="28"/>
      <c r="N1124" s="25"/>
    </row>
    <row r="1125" spans="1:15" ht="15.95" customHeight="1" x14ac:dyDescent="0.25">
      <c r="A1125" s="121"/>
      <c r="B1125" s="26"/>
      <c r="C1125" s="85"/>
      <c r="D1125" s="27"/>
      <c r="E1125" s="27"/>
      <c r="F1125" s="27"/>
      <c r="G1125" s="91"/>
      <c r="H1125" s="27"/>
      <c r="I1125" s="27"/>
      <c r="J1125" s="27"/>
      <c r="K1125" s="27"/>
      <c r="L1125" s="27"/>
      <c r="M1125" s="27"/>
      <c r="N1125" s="28"/>
    </row>
    <row r="1126" spans="1:15" ht="15.95" customHeight="1" x14ac:dyDescent="0.25">
      <c r="A1126" s="121"/>
      <c r="B1126" s="686" t="s">
        <v>518</v>
      </c>
      <c r="C1126" s="687"/>
      <c r="D1126" s="687"/>
      <c r="E1126" s="687"/>
      <c r="F1126" s="687"/>
      <c r="G1126" s="687"/>
      <c r="H1126" s="687"/>
      <c r="I1126" s="687"/>
      <c r="J1126" s="687"/>
      <c r="K1126" s="687"/>
      <c r="L1126" s="687"/>
      <c r="M1126" s="687"/>
      <c r="N1126" s="688"/>
    </row>
    <row r="1127" spans="1:15" ht="15.95" customHeight="1" x14ac:dyDescent="0.25">
      <c r="A1127" s="121"/>
      <c r="B1127" s="23"/>
      <c r="C1127" s="24"/>
      <c r="D1127" s="24"/>
      <c r="E1127" s="24"/>
      <c r="F1127" s="31"/>
      <c r="G1127" s="87"/>
      <c r="H1127" s="31"/>
      <c r="I1127" s="31"/>
      <c r="J1127" s="24"/>
      <c r="K1127" s="24"/>
      <c r="L1127" s="24"/>
      <c r="M1127" s="24"/>
      <c r="N1127" s="25"/>
    </row>
    <row r="1128" spans="1:15" ht="15.95" customHeight="1" x14ac:dyDescent="0.25">
      <c r="A1128" s="121"/>
      <c r="B1128" s="23"/>
      <c r="C1128" s="638" t="s">
        <v>37</v>
      </c>
      <c r="D1128" s="639"/>
      <c r="E1128" s="640"/>
      <c r="F1128" s="31"/>
      <c r="G1128" s="87"/>
      <c r="H1128" s="641" t="s">
        <v>28</v>
      </c>
      <c r="I1128" s="642"/>
      <c r="J1128" s="39">
        <f>D1148-SUMIF(H1135:H1140,"&lt;"&amp;$M$4,K1135:K1140)</f>
        <v>0</v>
      </c>
      <c r="K1128" s="24"/>
      <c r="L1128" s="24"/>
      <c r="M1128" s="24"/>
      <c r="N1128" s="25"/>
    </row>
    <row r="1129" spans="1:15" ht="15.95" customHeight="1" x14ac:dyDescent="0.25">
      <c r="A1129" s="121"/>
      <c r="B1129" s="23"/>
      <c r="C1129" s="58"/>
      <c r="D1129" s="664"/>
      <c r="E1129" s="665"/>
      <c r="F1129" s="31"/>
      <c r="G1129" s="87"/>
      <c r="H1129" s="645" t="s">
        <v>29</v>
      </c>
      <c r="I1129" s="646"/>
      <c r="J1129" s="40">
        <f>D1147</f>
        <v>45586</v>
      </c>
      <c r="K1129" s="24"/>
      <c r="L1129" s="24"/>
      <c r="M1129" s="24"/>
      <c r="N1129" s="25"/>
    </row>
    <row r="1130" spans="1:15" ht="20.100000000000001" customHeight="1" x14ac:dyDescent="0.25">
      <c r="A1130" s="121"/>
      <c r="B1130" s="23"/>
      <c r="C1130" s="59" t="s">
        <v>25</v>
      </c>
      <c r="D1130" s="681"/>
      <c r="E1130" s="682"/>
      <c r="F1130" s="31"/>
      <c r="G1130" s="87"/>
      <c r="H1130" s="649" t="s">
        <v>30</v>
      </c>
      <c r="I1130" s="650"/>
      <c r="J1130" s="42" t="s">
        <v>523</v>
      </c>
      <c r="K1130" s="24"/>
      <c r="L1130" s="24"/>
      <c r="M1130" s="24"/>
      <c r="N1130" s="25"/>
    </row>
    <row r="1131" spans="1:15" ht="15.95" customHeight="1" x14ac:dyDescent="0.25">
      <c r="A1131" s="121"/>
      <c r="B1131" s="23"/>
      <c r="C1131" s="59" t="s">
        <v>6</v>
      </c>
      <c r="D1131" s="681" t="s">
        <v>519</v>
      </c>
      <c r="E1131" s="682"/>
      <c r="F1131" s="31"/>
      <c r="G1131" s="87"/>
      <c r="H1131" s="24"/>
      <c r="I1131" s="24"/>
      <c r="J1131" s="24"/>
      <c r="K1131" s="24"/>
      <c r="L1131" s="24"/>
      <c r="M1131" s="24"/>
      <c r="N1131" s="25"/>
    </row>
    <row r="1132" spans="1:15" ht="15.95" customHeight="1" x14ac:dyDescent="0.25">
      <c r="A1132" s="121"/>
      <c r="B1132" s="23"/>
      <c r="C1132" s="59" t="s">
        <v>8</v>
      </c>
      <c r="D1132" s="681" t="s">
        <v>17</v>
      </c>
      <c r="E1132" s="682"/>
      <c r="F1132" s="31"/>
      <c r="G1132" s="87"/>
      <c r="H1132" s="651" t="s">
        <v>41</v>
      </c>
      <c r="I1132" s="652"/>
      <c r="J1132" s="652"/>
      <c r="K1132" s="652"/>
      <c r="L1132" s="653"/>
      <c r="M1132" s="24"/>
      <c r="N1132" s="25"/>
      <c r="O1132" s="194" t="str">
        <f>+D1280</f>
        <v>ON Pyme CNV Garantizada</v>
      </c>
    </row>
    <row r="1133" spans="1:15" ht="15.95" customHeight="1" x14ac:dyDescent="0.25">
      <c r="A1133" s="121"/>
      <c r="B1133" s="23"/>
      <c r="C1133" s="59" t="s">
        <v>33</v>
      </c>
      <c r="D1133" s="132" t="s">
        <v>308</v>
      </c>
      <c r="E1133" s="274">
        <v>1</v>
      </c>
      <c r="F1133" s="281">
        <f>+E1133*J1128</f>
        <v>0</v>
      </c>
      <c r="G1133" s="87"/>
      <c r="H1133" s="126" t="s">
        <v>0</v>
      </c>
      <c r="I1133" s="127" t="s">
        <v>2</v>
      </c>
      <c r="J1133" s="127" t="s">
        <v>3</v>
      </c>
      <c r="K1133" s="127" t="s">
        <v>4</v>
      </c>
      <c r="L1133" s="128" t="s">
        <v>5</v>
      </c>
      <c r="M1133" s="127" t="s">
        <v>44</v>
      </c>
      <c r="N1133" s="25"/>
    </row>
    <row r="1134" spans="1:15" ht="15.95" customHeight="1" x14ac:dyDescent="0.25">
      <c r="A1134" s="121"/>
      <c r="B1134" s="23"/>
      <c r="C1134" s="59" t="s">
        <v>34</v>
      </c>
      <c r="D1134" s="681" t="s">
        <v>48</v>
      </c>
      <c r="E1134" s="682"/>
      <c r="F1134" s="31"/>
      <c r="G1134" s="87"/>
      <c r="H1134" s="45"/>
      <c r="I1134" s="46"/>
      <c r="J1134" s="46"/>
      <c r="K1134" s="46"/>
      <c r="L1134" s="47"/>
      <c r="M1134" s="23"/>
      <c r="N1134" s="25"/>
      <c r="O1134" s="194" t="str">
        <f>+IF(J1278="vencida",IF(D1280='Reporte - Oscuro'!$C$40,'Reporte - Oscuro'!$C$40&amp;" vencida",IF(D1280='Reporte - Oscuro'!$C$41,'Reporte - Oscuro'!$C$41&amp;" vencida",IF(D1280='Reporte - Oscuro'!$C$42,'Reporte - Oscuro'!$C$42&amp;" vencida",'Reporte - Oscuro'!$C$43&amp;" vencida"))),D1280&amp;" vigente")</f>
        <v>ON Pyme CNV Garantizada vencida</v>
      </c>
    </row>
    <row r="1135" spans="1:15" ht="15.95" customHeight="1" x14ac:dyDescent="0.25">
      <c r="A1135" s="121"/>
      <c r="B1135" s="23"/>
      <c r="C1135" s="79" t="s">
        <v>38</v>
      </c>
      <c r="D1135" s="130"/>
      <c r="E1135" s="131"/>
      <c r="F1135" s="31"/>
      <c r="G1135" s="87"/>
      <c r="H1135" s="48">
        <f>D1146</f>
        <v>44855</v>
      </c>
      <c r="I1135" s="136"/>
      <c r="J1135" s="49"/>
      <c r="K1135" s="49"/>
      <c r="L1135" s="50">
        <f>+D1148</f>
        <v>350000</v>
      </c>
      <c r="M1135" s="93">
        <f>-L1135</f>
        <v>-350000</v>
      </c>
      <c r="N1135" s="25"/>
    </row>
    <row r="1136" spans="1:15" ht="15.95" customHeight="1" x14ac:dyDescent="0.25">
      <c r="A1136" s="121"/>
      <c r="B1136" s="23"/>
      <c r="C1136" s="59"/>
      <c r="D1136" s="132"/>
      <c r="E1136" s="133"/>
      <c r="F1136" s="31"/>
      <c r="G1136" s="87"/>
      <c r="H1136" s="51">
        <v>45037</v>
      </c>
      <c r="I1136" s="137" t="s">
        <v>13</v>
      </c>
      <c r="J1136" s="52">
        <f>+(($D$1151/365)*(H1136-H1135))*L1135</f>
        <v>0</v>
      </c>
      <c r="K1136" s="52">
        <v>87500</v>
      </c>
      <c r="L1136" s="53">
        <f>+L1135-K1136</f>
        <v>262500</v>
      </c>
      <c r="M1136" s="94">
        <f>+J1136+K1136</f>
        <v>87500</v>
      </c>
      <c r="N1136" s="25"/>
    </row>
    <row r="1137" spans="1:15" ht="15.95" customHeight="1" x14ac:dyDescent="0.25">
      <c r="A1137" s="121"/>
      <c r="B1137" s="23"/>
      <c r="C1137" s="60"/>
      <c r="D1137" s="134"/>
      <c r="E1137" s="135"/>
      <c r="F1137" s="34"/>
      <c r="G1137" s="88"/>
      <c r="H1137" s="51">
        <v>45220</v>
      </c>
      <c r="I1137" s="137" t="s">
        <v>13</v>
      </c>
      <c r="J1137" s="52">
        <f>+(($D$1151/365)*(H1137-H1136))*L1136</f>
        <v>0</v>
      </c>
      <c r="K1137" s="52">
        <v>87500</v>
      </c>
      <c r="L1137" s="53">
        <f>+L1136-K1137</f>
        <v>175000</v>
      </c>
      <c r="M1137" s="94">
        <f>+J1137+K1137</f>
        <v>87500</v>
      </c>
      <c r="N1137" s="25"/>
    </row>
    <row r="1138" spans="1:15" ht="15.95" customHeight="1" x14ac:dyDescent="0.25">
      <c r="A1138" s="121"/>
      <c r="B1138" s="23"/>
      <c r="C1138" s="60"/>
      <c r="D1138" s="55" t="str">
        <f>B1126</f>
        <v>Garro Fabril I</v>
      </c>
      <c r="E1138" s="64"/>
      <c r="F1138" s="34"/>
      <c r="G1138" s="88">
        <f>J1128</f>
        <v>0</v>
      </c>
      <c r="H1138" s="51">
        <v>45403</v>
      </c>
      <c r="I1138" s="137" t="s">
        <v>13</v>
      </c>
      <c r="J1138" s="52">
        <f>+(($D$1151/365)*(H1138-H1137))*L1137</f>
        <v>0</v>
      </c>
      <c r="K1138" s="52">
        <v>87500</v>
      </c>
      <c r="L1138" s="53">
        <f>+L1137-K1138</f>
        <v>87500</v>
      </c>
      <c r="M1138" s="94">
        <f>+J1138+K1138</f>
        <v>87500</v>
      </c>
      <c r="N1138" s="25"/>
    </row>
    <row r="1139" spans="1:15" ht="15.95" customHeight="1" x14ac:dyDescent="0.25">
      <c r="A1139" s="121"/>
      <c r="B1139" s="32"/>
      <c r="D1139" s="644"/>
      <c r="E1139" s="660"/>
      <c r="F1139" s="34"/>
      <c r="G1139" s="88"/>
      <c r="H1139" s="51">
        <v>45586</v>
      </c>
      <c r="I1139" s="137" t="s">
        <v>13</v>
      </c>
      <c r="J1139" s="52">
        <f>+(($D$1151/365)*(H1139-H1138))*L1138</f>
        <v>0</v>
      </c>
      <c r="K1139" s="52">
        <v>87500</v>
      </c>
      <c r="L1139" s="53">
        <f>+L1138-K1139</f>
        <v>0</v>
      </c>
      <c r="M1139" s="94">
        <f>+J1139+K1139</f>
        <v>87500</v>
      </c>
      <c r="N1139" s="25"/>
      <c r="O1139" s="97">
        <f>+M1283</f>
        <v>-150000</v>
      </c>
    </row>
    <row r="1140" spans="1:15" ht="15.95" customHeight="1" x14ac:dyDescent="0.25">
      <c r="A1140" s="121"/>
      <c r="B1140" s="23"/>
      <c r="C1140" s="638" t="s">
        <v>36</v>
      </c>
      <c r="D1140" s="640"/>
      <c r="E1140" s="36"/>
      <c r="F1140" s="34"/>
      <c r="G1140" s="89"/>
      <c r="H1140" s="54"/>
      <c r="I1140" s="144"/>
      <c r="J1140" s="55"/>
      <c r="K1140" s="56"/>
      <c r="L1140" s="57"/>
      <c r="M1140" s="95"/>
      <c r="N1140" s="25"/>
      <c r="O1140" s="97">
        <f t="shared" ref="O1140:O1151" si="104">+M1284+O1139</f>
        <v>-134176.64383561644</v>
      </c>
    </row>
    <row r="1141" spans="1:15" ht="15.95" customHeight="1" x14ac:dyDescent="0.25">
      <c r="A1141" s="121"/>
      <c r="B1141" s="23"/>
      <c r="C1141" s="59"/>
      <c r="D1141" s="62"/>
      <c r="E1141" s="36"/>
      <c r="F1141" s="36"/>
      <c r="G1141" s="89"/>
      <c r="H1141" s="24"/>
      <c r="I1141" s="24"/>
      <c r="J1141" s="24"/>
      <c r="K1141" s="24"/>
      <c r="L1141" s="24"/>
      <c r="M1141" s="24"/>
      <c r="N1141" s="25"/>
      <c r="O1141" s="97">
        <f t="shared" si="104"/>
        <v>-118597.01112328768</v>
      </c>
    </row>
    <row r="1142" spans="1:15" ht="15.95" customHeight="1" x14ac:dyDescent="0.25">
      <c r="A1142" s="121"/>
      <c r="B1142" s="23"/>
      <c r="C1142" s="59" t="s">
        <v>9</v>
      </c>
      <c r="D1142" s="129" t="s">
        <v>49</v>
      </c>
      <c r="E1142" s="36"/>
      <c r="F1142" s="36"/>
      <c r="G1142" s="89"/>
      <c r="H1142" s="680" t="s">
        <v>43</v>
      </c>
      <c r="I1142" s="680"/>
      <c r="J1142" s="92">
        <f>J1128</f>
        <v>0</v>
      </c>
      <c r="K1142" s="92"/>
      <c r="L1142" s="24"/>
      <c r="M1142" s="24"/>
      <c r="N1142" s="25"/>
      <c r="O1142" s="97">
        <f t="shared" si="104"/>
        <v>-103236.71342465754</v>
      </c>
    </row>
    <row r="1143" spans="1:15" ht="15.95" customHeight="1" x14ac:dyDescent="0.25">
      <c r="A1143" s="121"/>
      <c r="B1143" s="23"/>
      <c r="C1143" s="59" t="s">
        <v>51</v>
      </c>
      <c r="D1143" s="138" t="s">
        <v>18</v>
      </c>
      <c r="E1143" s="36"/>
      <c r="F1143" s="36"/>
      <c r="G1143" s="89"/>
      <c r="H1143" s="657"/>
      <c r="I1143" s="657"/>
      <c r="J1143" s="392"/>
      <c r="K1143" s="24"/>
      <c r="L1143" s="33"/>
      <c r="M1143" s="33"/>
      <c r="N1143" s="25"/>
      <c r="O1143" s="97">
        <f t="shared" si="104"/>
        <v>-88245.113465753442</v>
      </c>
    </row>
    <row r="1144" spans="1:15" ht="15.95" customHeight="1" x14ac:dyDescent="0.25">
      <c r="A1144" s="121"/>
      <c r="B1144" s="23"/>
      <c r="C1144" s="59" t="s">
        <v>52</v>
      </c>
      <c r="D1144" s="138" t="s">
        <v>18</v>
      </c>
      <c r="E1144" s="36"/>
      <c r="F1144" s="36"/>
      <c r="G1144" s="90"/>
      <c r="H1144" s="24"/>
      <c r="I1144" s="24"/>
      <c r="J1144" s="24"/>
      <c r="K1144" s="24"/>
      <c r="L1144" s="24"/>
      <c r="M1144" s="24"/>
      <c r="N1144" s="25"/>
      <c r="O1144" s="97">
        <f t="shared" si="104"/>
        <v>-73530.765575342492</v>
      </c>
    </row>
    <row r="1145" spans="1:15" ht="15.95" customHeight="1" x14ac:dyDescent="0.25">
      <c r="A1145" s="121"/>
      <c r="B1145" s="23"/>
      <c r="C1145" s="59" t="s">
        <v>10</v>
      </c>
      <c r="D1145" s="139">
        <v>44852</v>
      </c>
      <c r="E1145" s="36"/>
      <c r="F1145" s="36"/>
      <c r="G1145" s="90"/>
      <c r="H1145" s="638" t="s">
        <v>44</v>
      </c>
      <c r="I1145" s="639"/>
      <c r="J1145" s="639"/>
      <c r="K1145" s="639"/>
      <c r="L1145" s="639"/>
      <c r="M1145" s="640"/>
      <c r="N1145" s="25"/>
      <c r="O1145" s="97">
        <f t="shared" si="104"/>
        <v>-59093.669753424685</v>
      </c>
    </row>
    <row r="1146" spans="1:15" ht="15.95" customHeight="1" x14ac:dyDescent="0.25">
      <c r="A1146" s="121"/>
      <c r="B1146" s="23"/>
      <c r="C1146" s="59" t="s">
        <v>11</v>
      </c>
      <c r="D1146" s="139">
        <v>44855</v>
      </c>
      <c r="E1146" s="41"/>
      <c r="F1146" s="24"/>
      <c r="G1146" s="90"/>
      <c r="H1146" s="23"/>
      <c r="I1146" s="24"/>
      <c r="J1146" s="24"/>
      <c r="K1146" s="24"/>
      <c r="L1146" s="24"/>
      <c r="M1146" s="25"/>
      <c r="N1146" s="25"/>
      <c r="O1146" s="97">
        <f t="shared" si="104"/>
        <v>-44933.82600000003</v>
      </c>
    </row>
    <row r="1147" spans="1:15" ht="15.95" customHeight="1" x14ac:dyDescent="0.25">
      <c r="A1147" s="121"/>
      <c r="B1147" s="23"/>
      <c r="C1147" s="59" t="s">
        <v>12</v>
      </c>
      <c r="D1147" s="139">
        <v>45586</v>
      </c>
      <c r="E1147" s="36"/>
      <c r="F1147" s="24"/>
      <c r="G1147" s="90"/>
      <c r="H1147" s="23"/>
      <c r="I1147" s="24"/>
      <c r="J1147" s="24"/>
      <c r="K1147" s="24"/>
      <c r="L1147" s="24"/>
      <c r="M1147" s="25"/>
      <c r="N1147" s="25"/>
      <c r="O1147" s="97">
        <f t="shared" si="104"/>
        <v>-31051.234315068523</v>
      </c>
    </row>
    <row r="1148" spans="1:15" ht="15.95" customHeight="1" x14ac:dyDescent="0.25">
      <c r="A1148" s="121"/>
      <c r="B1148" s="23"/>
      <c r="C1148" s="59" t="s">
        <v>27</v>
      </c>
      <c r="D1148" s="140">
        <v>350000</v>
      </c>
      <c r="E1148" s="43"/>
      <c r="F1148" s="24"/>
      <c r="G1148" s="90"/>
      <c r="H1148" s="96"/>
      <c r="I1148" s="35"/>
      <c r="J1148" s="24"/>
      <c r="K1148" s="24"/>
      <c r="L1148" s="24"/>
      <c r="M1148" s="25"/>
      <c r="N1148" s="25"/>
      <c r="O1148" s="97">
        <f t="shared" si="104"/>
        <v>-17430.894698630167</v>
      </c>
    </row>
    <row r="1149" spans="1:15" ht="15.95" customHeight="1" x14ac:dyDescent="0.25">
      <c r="A1149" s="121"/>
      <c r="B1149" s="23"/>
      <c r="C1149" s="59" t="s">
        <v>26</v>
      </c>
      <c r="D1149" s="140">
        <v>6</v>
      </c>
      <c r="E1149" s="43"/>
      <c r="F1149" s="24"/>
      <c r="G1149" s="90"/>
      <c r="H1149" s="23"/>
      <c r="I1149" s="24"/>
      <c r="J1149" s="24"/>
      <c r="K1149" s="24"/>
      <c r="L1149" s="24"/>
      <c r="M1149" s="25"/>
      <c r="N1149" s="25"/>
      <c r="O1149" s="97">
        <f t="shared" si="104"/>
        <v>-4088.1399863013994</v>
      </c>
    </row>
    <row r="1150" spans="1:15" ht="15.95" customHeight="1" x14ac:dyDescent="0.25">
      <c r="A1150" s="121"/>
      <c r="B1150" s="23"/>
      <c r="C1150" s="59" t="s">
        <v>19</v>
      </c>
      <c r="D1150" s="141" t="s">
        <v>50</v>
      </c>
      <c r="E1150" s="43"/>
      <c r="F1150" s="24"/>
      <c r="G1150" s="90"/>
      <c r="H1150" s="23"/>
      <c r="I1150" s="24"/>
      <c r="J1150" s="24"/>
      <c r="K1150" s="24"/>
      <c r="L1150" s="24"/>
      <c r="M1150" s="25"/>
      <c r="N1150" s="25"/>
      <c r="O1150" s="97">
        <f t="shared" si="104"/>
        <v>8983.1305890410658</v>
      </c>
    </row>
    <row r="1151" spans="1:15" ht="15.95" customHeight="1" x14ac:dyDescent="0.25">
      <c r="A1151" s="121"/>
      <c r="B1151" s="23"/>
      <c r="C1151" s="59" t="s">
        <v>14</v>
      </c>
      <c r="D1151" s="142">
        <v>0</v>
      </c>
      <c r="E1151" s="44"/>
      <c r="F1151" s="24"/>
      <c r="G1151" s="90"/>
      <c r="H1151" s="23"/>
      <c r="I1151" s="24"/>
      <c r="J1151" s="24"/>
      <c r="K1151" s="24"/>
      <c r="L1151" s="24"/>
      <c r="M1151" s="25"/>
      <c r="N1151" s="25"/>
      <c r="O1151" s="97">
        <f t="shared" si="104"/>
        <v>21767.665109589012</v>
      </c>
    </row>
    <row r="1152" spans="1:15" ht="15.95" customHeight="1" x14ac:dyDescent="0.25">
      <c r="A1152" s="121"/>
      <c r="B1152" s="23"/>
      <c r="C1152" s="59" t="s">
        <v>64</v>
      </c>
      <c r="D1152" s="142">
        <v>0.25</v>
      </c>
      <c r="E1152" s="24"/>
      <c r="F1152" s="24"/>
      <c r="G1152" s="90"/>
      <c r="H1152" s="23"/>
      <c r="I1152" s="24"/>
      <c r="J1152" s="24"/>
      <c r="K1152" s="24"/>
      <c r="L1152" s="24"/>
      <c r="M1152" s="25"/>
      <c r="N1152" s="25"/>
    </row>
    <row r="1153" spans="1:14" ht="15.95" customHeight="1" x14ac:dyDescent="0.25">
      <c r="A1153" s="121"/>
      <c r="B1153" s="23"/>
      <c r="C1153" s="63"/>
      <c r="D1153" s="145"/>
      <c r="E1153" s="24"/>
      <c r="F1153" s="24"/>
      <c r="G1153" s="90"/>
      <c r="H1153" s="23"/>
      <c r="I1153" s="24"/>
      <c r="J1153" s="24"/>
      <c r="K1153" s="24"/>
      <c r="L1153" s="24"/>
      <c r="M1153" s="25"/>
      <c r="N1153" s="25"/>
    </row>
    <row r="1154" spans="1:14" ht="15.95" customHeight="1" x14ac:dyDescent="0.25">
      <c r="A1154" s="121"/>
      <c r="B1154" s="23"/>
      <c r="C1154" s="24"/>
      <c r="D1154" s="24"/>
      <c r="E1154" s="24"/>
      <c r="F1154" s="24"/>
      <c r="G1154" s="90"/>
      <c r="H1154" s="23"/>
      <c r="I1154" s="24"/>
      <c r="J1154" s="24"/>
      <c r="K1154" s="24"/>
      <c r="L1154" s="24"/>
      <c r="M1154" s="25"/>
      <c r="N1154" s="25"/>
    </row>
    <row r="1155" spans="1:14" ht="15.95" customHeight="1" x14ac:dyDescent="0.25">
      <c r="A1155" s="121"/>
      <c r="B1155" s="23"/>
      <c r="C1155" s="24"/>
      <c r="D1155" s="24"/>
      <c r="E1155" s="24"/>
      <c r="F1155" s="24"/>
      <c r="G1155" s="90"/>
      <c r="H1155" s="23"/>
      <c r="I1155" s="24"/>
      <c r="J1155" s="24"/>
      <c r="K1155" s="24"/>
      <c r="L1155" s="24"/>
      <c r="M1155" s="25"/>
      <c r="N1155" s="25"/>
    </row>
    <row r="1156" spans="1:14" ht="15.95" customHeight="1" x14ac:dyDescent="0.25">
      <c r="A1156" s="121"/>
      <c r="B1156" s="23"/>
      <c r="C1156" s="24"/>
      <c r="D1156" s="24"/>
      <c r="E1156" s="24"/>
      <c r="F1156" s="24"/>
      <c r="G1156" s="90"/>
      <c r="H1156" s="23"/>
      <c r="I1156" s="24"/>
      <c r="J1156" s="24"/>
      <c r="K1156" s="24"/>
      <c r="L1156" s="24"/>
      <c r="M1156" s="25"/>
      <c r="N1156" s="25"/>
    </row>
    <row r="1157" spans="1:14" ht="15.95" customHeight="1" x14ac:dyDescent="0.25">
      <c r="A1157" s="121"/>
      <c r="B1157" s="23"/>
      <c r="C1157" s="24"/>
      <c r="D1157" s="24"/>
      <c r="E1157" s="24"/>
      <c r="F1157" s="24"/>
      <c r="G1157" s="90"/>
      <c r="H1157" s="26"/>
      <c r="I1157" s="27"/>
      <c r="J1157" s="27"/>
      <c r="K1157" s="27"/>
      <c r="L1157" s="27"/>
      <c r="M1157" s="28"/>
      <c r="N1157" s="25"/>
    </row>
    <row r="1158" spans="1:14" ht="15.95" customHeight="1" x14ac:dyDescent="0.25">
      <c r="A1158" s="121"/>
      <c r="B1158" s="26"/>
      <c r="C1158" s="85"/>
      <c r="D1158" s="27"/>
      <c r="E1158" s="27"/>
      <c r="F1158" s="27"/>
      <c r="G1158" s="91"/>
      <c r="H1158" s="27"/>
      <c r="I1158" s="27"/>
      <c r="J1158" s="27"/>
      <c r="K1158" s="27"/>
      <c r="L1158" s="27"/>
      <c r="M1158" s="27"/>
      <c r="N1158" s="28"/>
    </row>
    <row r="1159" spans="1:14" ht="15.95" customHeight="1" x14ac:dyDescent="0.25">
      <c r="A1159" s="121"/>
      <c r="B1159" s="23"/>
      <c r="C1159" s="24"/>
      <c r="D1159" s="24"/>
      <c r="E1159" s="24"/>
      <c r="F1159" s="24"/>
      <c r="G1159" s="24"/>
      <c r="H1159" s="24"/>
      <c r="I1159" s="24"/>
      <c r="J1159" s="24"/>
      <c r="K1159" s="24"/>
      <c r="L1159" s="24"/>
      <c r="M1159" s="24"/>
      <c r="N1159" s="25"/>
    </row>
    <row r="1160" spans="1:14" ht="15.95" customHeight="1" x14ac:dyDescent="0.25">
      <c r="A1160" s="122" t="s">
        <v>48</v>
      </c>
      <c r="B1160" s="683" t="s">
        <v>197</v>
      </c>
      <c r="C1160" s="684"/>
      <c r="D1160" s="684"/>
      <c r="E1160" s="684"/>
      <c r="F1160" s="684"/>
      <c r="G1160" s="684"/>
      <c r="H1160" s="684"/>
      <c r="I1160" s="684"/>
      <c r="J1160" s="684"/>
      <c r="K1160" s="684"/>
      <c r="L1160" s="684"/>
      <c r="M1160" s="684"/>
      <c r="N1160" s="685"/>
    </row>
    <row r="1161" spans="1:14" ht="15.95" customHeight="1" x14ac:dyDescent="0.25">
      <c r="A1161" s="121"/>
      <c r="B1161" s="23"/>
      <c r="C1161" s="24"/>
      <c r="D1161" s="24"/>
      <c r="E1161" s="24"/>
      <c r="F1161" s="31"/>
      <c r="G1161" s="87"/>
      <c r="H1161" s="31"/>
      <c r="I1161" s="31"/>
      <c r="J1161" s="24"/>
      <c r="K1161" s="24"/>
      <c r="L1161" s="24"/>
      <c r="M1161" s="24"/>
      <c r="N1161" s="25"/>
    </row>
    <row r="1162" spans="1:14" ht="15.95" customHeight="1" x14ac:dyDescent="0.25">
      <c r="A1162" s="121"/>
      <c r="B1162" s="23"/>
      <c r="C1162" s="638" t="s">
        <v>37</v>
      </c>
      <c r="D1162" s="639"/>
      <c r="E1162" s="640"/>
      <c r="F1162" s="31"/>
      <c r="G1162" s="87"/>
      <c r="H1162" s="641" t="s">
        <v>28</v>
      </c>
      <c r="I1162" s="642"/>
      <c r="J1162" s="39">
        <f>+$D$1182-SUMIF($H$1168:$H$1182,"&lt;"&amp;$M$4,$K$1168:$K$1182)</f>
        <v>0</v>
      </c>
      <c r="K1162" s="24"/>
      <c r="L1162" s="24"/>
      <c r="M1162" s="24"/>
      <c r="N1162" s="25"/>
    </row>
    <row r="1163" spans="1:14" ht="15.95" customHeight="1" x14ac:dyDescent="0.25">
      <c r="A1163" s="121"/>
      <c r="B1163" s="23"/>
      <c r="C1163" s="58"/>
      <c r="D1163" s="643"/>
      <c r="E1163" s="644"/>
      <c r="F1163" s="31"/>
      <c r="G1163" s="87"/>
      <c r="H1163" s="645" t="s">
        <v>29</v>
      </c>
      <c r="I1163" s="646"/>
      <c r="J1163" s="40">
        <f>+$D$1181</f>
        <v>44292</v>
      </c>
      <c r="K1163" s="24"/>
      <c r="L1163" s="24"/>
      <c r="M1163" s="24"/>
      <c r="N1163" s="25"/>
    </row>
    <row r="1164" spans="1:14" ht="15.95" customHeight="1" x14ac:dyDescent="0.25">
      <c r="A1164" s="121"/>
      <c r="B1164" s="23"/>
      <c r="C1164" s="59" t="s">
        <v>25</v>
      </c>
      <c r="D1164" s="691"/>
      <c r="E1164" s="692"/>
      <c r="F1164" s="31"/>
      <c r="G1164" s="87"/>
      <c r="H1164" s="649" t="s">
        <v>30</v>
      </c>
      <c r="I1164" s="650"/>
      <c r="J1164" s="42" t="str">
        <f t="array" ref="J1164">+IF(H1181&gt;=M4,MIN(IF($H$1168:$H$1182&gt;$M$4,$H$1168:$H$1182,"")),"vencida")</f>
        <v>vencida</v>
      </c>
      <c r="K1164" s="24"/>
      <c r="L1164" s="24"/>
      <c r="M1164" s="24"/>
      <c r="N1164" s="25"/>
    </row>
    <row r="1165" spans="1:14" ht="15.95" customHeight="1" x14ac:dyDescent="0.25">
      <c r="A1165" s="121"/>
      <c r="B1165" s="23"/>
      <c r="C1165" s="59" t="s">
        <v>6</v>
      </c>
      <c r="D1165" s="691" t="s">
        <v>244</v>
      </c>
      <c r="E1165" s="692"/>
      <c r="F1165" s="31"/>
      <c r="G1165" s="87"/>
      <c r="H1165" s="24"/>
      <c r="I1165" s="24"/>
      <c r="J1165" s="24"/>
      <c r="K1165" s="24"/>
      <c r="L1165" s="24"/>
      <c r="M1165" s="24"/>
      <c r="N1165" s="25"/>
    </row>
    <row r="1166" spans="1:14" ht="15.95" customHeight="1" x14ac:dyDescent="0.25">
      <c r="A1166" s="121"/>
      <c r="B1166" s="23"/>
      <c r="C1166" s="59" t="s">
        <v>8</v>
      </c>
      <c r="D1166" s="691" t="s">
        <v>17</v>
      </c>
      <c r="E1166" s="692"/>
      <c r="F1166" s="31"/>
      <c r="G1166" s="87"/>
      <c r="H1166" s="651" t="s">
        <v>41</v>
      </c>
      <c r="I1166" s="652"/>
      <c r="J1166" s="652"/>
      <c r="K1166" s="652"/>
      <c r="L1166" s="653"/>
      <c r="M1166" s="24"/>
      <c r="N1166" s="25"/>
    </row>
    <row r="1167" spans="1:14" ht="15.95" customHeight="1" x14ac:dyDescent="0.25">
      <c r="A1167" s="121"/>
      <c r="B1167" s="23"/>
      <c r="C1167" s="59" t="s">
        <v>33</v>
      </c>
      <c r="D1167" s="132" t="s">
        <v>309</v>
      </c>
      <c r="E1167" s="274">
        <v>1</v>
      </c>
      <c r="F1167" s="281">
        <f>+E1167*J1162</f>
        <v>0</v>
      </c>
      <c r="G1167" s="87"/>
      <c r="H1167" s="126" t="s">
        <v>0</v>
      </c>
      <c r="I1167" s="127" t="s">
        <v>2</v>
      </c>
      <c r="J1167" s="127" t="s">
        <v>3</v>
      </c>
      <c r="K1167" s="127" t="s">
        <v>4</v>
      </c>
      <c r="L1167" s="128" t="s">
        <v>5</v>
      </c>
      <c r="M1167" s="127" t="s">
        <v>44</v>
      </c>
      <c r="N1167" s="25"/>
    </row>
    <row r="1168" spans="1:14" ht="15.95" customHeight="1" x14ac:dyDescent="0.25">
      <c r="A1168" s="121"/>
      <c r="B1168" s="23"/>
      <c r="C1168" s="59" t="s">
        <v>34</v>
      </c>
      <c r="D1168" s="689" t="s">
        <v>48</v>
      </c>
      <c r="E1168" s="690"/>
      <c r="F1168" s="31"/>
      <c r="G1168" s="87"/>
      <c r="H1168" s="45"/>
      <c r="I1168" s="46"/>
      <c r="J1168" s="46"/>
      <c r="K1168" s="46"/>
      <c r="L1168" s="47"/>
      <c r="M1168" s="23"/>
      <c r="N1168" s="25"/>
    </row>
    <row r="1169" spans="1:16" ht="20.100000000000001" customHeight="1" x14ac:dyDescent="0.25">
      <c r="A1169" s="121"/>
      <c r="B1169" s="23"/>
      <c r="C1169" s="79" t="s">
        <v>38</v>
      </c>
      <c r="D1169" s="130"/>
      <c r="E1169" s="131"/>
      <c r="F1169" s="31"/>
      <c r="G1169" s="87"/>
      <c r="H1169" s="48">
        <f>+$D$1180</f>
        <v>43194</v>
      </c>
      <c r="I1169" s="136"/>
      <c r="J1169" s="49"/>
      <c r="K1169" s="49"/>
      <c r="L1169" s="50">
        <f>+D1182</f>
        <v>300000</v>
      </c>
      <c r="M1169" s="93">
        <f>-L1169</f>
        <v>-300000</v>
      </c>
      <c r="N1169" s="25"/>
    </row>
    <row r="1170" spans="1:16" ht="15.95" customHeight="1" x14ac:dyDescent="0.25">
      <c r="A1170" s="121"/>
      <c r="B1170" s="23"/>
      <c r="C1170" s="59"/>
      <c r="D1170" s="132"/>
      <c r="E1170" s="133"/>
      <c r="F1170" s="31"/>
      <c r="G1170" s="87"/>
      <c r="H1170" s="51">
        <f>IF(DAY(H1169)=DAY($H$1169),IF(WEEKDAY(EDATE(H1169,$D$1183),3)&lt;5,EDATE(H1169,$D$1183),WORKDAY(EDATE(H1169,$D$1183),1)),IF(WEEKDAY(EDATE($H$1169,$D$1183*COUNT($H$1169:H1169)),3)&lt;5,EDATE($H$1169,$D$1183*COUNT($H$1169:H1169)),WORKDAY(EDATE($H$1169,$D$1183*COUNT($H$1169:H1169)),1)))</f>
        <v>43285</v>
      </c>
      <c r="I1170" s="137" t="s">
        <v>13</v>
      </c>
      <c r="J1170" s="52">
        <f t="shared" ref="J1170:J1181" si="105">+(($D$1185/365)*(H1170-H1169))*L1169</f>
        <v>5422.6027397260268</v>
      </c>
      <c r="K1170" s="52">
        <f t="shared" ref="K1170:K1180" si="106">+IF(OR(I1170="A + C",I1170="A"),$L$1169*$D$1186,0)</f>
        <v>24990</v>
      </c>
      <c r="L1170" s="53">
        <f t="shared" ref="L1170:L1181" si="107">+L1169-K1170</f>
        <v>275010</v>
      </c>
      <c r="M1170" s="94">
        <f t="shared" ref="M1170:M1181" si="108">+J1170+K1170</f>
        <v>30412.602739726026</v>
      </c>
      <c r="N1170" s="25"/>
    </row>
    <row r="1171" spans="1:16" ht="15.95" customHeight="1" x14ac:dyDescent="0.25">
      <c r="A1171" s="121"/>
      <c r="B1171" s="23"/>
      <c r="C1171" s="60"/>
      <c r="D1171" s="134"/>
      <c r="E1171" s="135"/>
      <c r="F1171" s="34"/>
      <c r="G1171" s="88"/>
      <c r="H1171" s="51">
        <f>IF(DAY(H1170)=DAY($H$1169),IF(WEEKDAY(EDATE(H1170,$D$1183),3)&lt;5,EDATE(H1170,$D$1183),WORKDAY(EDATE(H1170,$D$1183),1)),IF(WEEKDAY(EDATE($H$1169,$D$1183*COUNT($H$1169:H1170)),3)&lt;5,EDATE($H$1169,$D$1183*COUNT($H$1169:H1170)),WORKDAY(EDATE($H$1169,$D$1183*COUNT($H$1169:H1170)),1)))</f>
        <v>43377</v>
      </c>
      <c r="I1171" s="137" t="s">
        <v>13</v>
      </c>
      <c r="J1171" s="52">
        <f t="shared" si="105"/>
        <v>5025.5252054794519</v>
      </c>
      <c r="K1171" s="52">
        <f t="shared" si="106"/>
        <v>24990</v>
      </c>
      <c r="L1171" s="53">
        <f t="shared" si="107"/>
        <v>250020</v>
      </c>
      <c r="M1171" s="94">
        <f t="shared" si="108"/>
        <v>30015.525205479451</v>
      </c>
      <c r="N1171" s="25"/>
      <c r="O1171" s="194" t="str">
        <f>+D1322</f>
        <v>ON Pyme CNV Garantizada</v>
      </c>
    </row>
    <row r="1172" spans="1:16" ht="15.95" customHeight="1" x14ac:dyDescent="0.25">
      <c r="A1172" s="121"/>
      <c r="B1172" s="23"/>
      <c r="C1172" s="60"/>
      <c r="D1172" s="55" t="str">
        <f>B1160</f>
        <v>Impomotors I</v>
      </c>
      <c r="E1172" s="64"/>
      <c r="F1172" s="34"/>
      <c r="G1172" s="88">
        <f>J1162</f>
        <v>0</v>
      </c>
      <c r="H1172" s="51">
        <f>IF(DAY(H1171)=DAY($H$1169),IF(WEEKDAY(EDATE(H1171,$D$1183),3)&lt;5,EDATE(H1171,$D$1183),WORKDAY(EDATE(H1171,$D$1183),1)),IF(WEEKDAY(EDATE($H$1169,$D$1183*COUNT($H$1169:H1171)),3)&lt;5,EDATE($H$1169,$D$1183*COUNT($H$1169:H1171)),WORKDAY(EDATE($H$1169,$D$1183*COUNT($H$1169:H1171)),1)))</f>
        <v>43469</v>
      </c>
      <c r="I1172" s="137" t="s">
        <v>13</v>
      </c>
      <c r="J1172" s="52">
        <f t="shared" si="105"/>
        <v>4568.858630136986</v>
      </c>
      <c r="K1172" s="52">
        <f t="shared" si="106"/>
        <v>24990</v>
      </c>
      <c r="L1172" s="53">
        <f t="shared" si="107"/>
        <v>225030</v>
      </c>
      <c r="M1172" s="94">
        <f t="shared" si="108"/>
        <v>29558.858630136987</v>
      </c>
      <c r="N1172" s="25"/>
    </row>
    <row r="1173" spans="1:16" ht="15.95" customHeight="1" x14ac:dyDescent="0.25">
      <c r="A1173" s="121"/>
      <c r="B1173" s="32"/>
      <c r="D1173" s="671"/>
      <c r="E1173" s="671"/>
      <c r="F1173" s="34"/>
      <c r="G1173" s="88"/>
      <c r="H1173" s="51">
        <f>IF(DAY(H1172)=DAY($H$1169),IF(WEEKDAY(EDATE(H1172,$D$1183),3)&lt;5,EDATE(H1172,$D$1183),WORKDAY(EDATE(H1172,$D$1183),1)),IF(WEEKDAY(EDATE($H$1169,$D$1183*COUNT($H$1169:H1172)),3)&lt;5,EDATE($H$1169,$D$1183*COUNT($H$1169:H1172)),WORKDAY(EDATE($H$1169,$D$1183*COUNT($H$1169:H1172)),1)))</f>
        <v>43559</v>
      </c>
      <c r="I1173" s="137" t="s">
        <v>13</v>
      </c>
      <c r="J1173" s="52">
        <f t="shared" si="105"/>
        <v>4022.7965753424651</v>
      </c>
      <c r="K1173" s="52">
        <f t="shared" si="106"/>
        <v>24990</v>
      </c>
      <c r="L1173" s="53">
        <f t="shared" si="107"/>
        <v>200040</v>
      </c>
      <c r="M1173" s="94">
        <f t="shared" si="108"/>
        <v>29012.796575342465</v>
      </c>
      <c r="N1173" s="25"/>
      <c r="O1173" s="194" t="str">
        <f>+IF(J1320="vencida",IF(D1322='Reporte - Oscuro'!$C$40,'Reporte - Oscuro'!$C$40&amp;" vencida",IF(D1322='Reporte - Oscuro'!$C$41,'Reporte - Oscuro'!$C$41&amp;" vencida",IF(D1322='Reporte - Oscuro'!$C$42,'Reporte - Oscuro'!$C$42&amp;" vencida",'Reporte - Oscuro'!$C$43&amp;" vencida"))),D1322&amp;" vigente")</f>
        <v>ON Pyme CNV Garantizada vencida</v>
      </c>
    </row>
    <row r="1174" spans="1:16" ht="15.95" customHeight="1" x14ac:dyDescent="0.25">
      <c r="A1174" s="121"/>
      <c r="B1174" s="23"/>
      <c r="C1174" s="638" t="s">
        <v>36</v>
      </c>
      <c r="D1174" s="640"/>
      <c r="E1174" s="36"/>
      <c r="F1174" s="34"/>
      <c r="G1174" s="88"/>
      <c r="H1174" s="51">
        <f>IF(DAY(H1173)=DAY($H$1169),IF(WEEKDAY(EDATE(H1173,$D$1183),3)&lt;5,EDATE(H1173,$D$1183),WORKDAY(EDATE(H1173,$D$1183),1)),IF(WEEKDAY(EDATE($H$1169,$D$1183*COUNT($H$1169:H1173)),3)&lt;5,EDATE($H$1169,$D$1183*COUNT($H$1169:H1173)),WORKDAY(EDATE($H$1169,$D$1183*COUNT($H$1169:H1173)),1)))</f>
        <v>43650</v>
      </c>
      <c r="I1174" s="137" t="s">
        <v>13</v>
      </c>
      <c r="J1174" s="52">
        <f t="shared" si="105"/>
        <v>3615.7915068493148</v>
      </c>
      <c r="K1174" s="52">
        <f t="shared" si="106"/>
        <v>24990</v>
      </c>
      <c r="L1174" s="53">
        <f t="shared" si="107"/>
        <v>175050</v>
      </c>
      <c r="M1174" s="94">
        <f t="shared" si="108"/>
        <v>28605.791506849317</v>
      </c>
      <c r="N1174" s="25"/>
    </row>
    <row r="1175" spans="1:16" ht="15.95" customHeight="1" x14ac:dyDescent="0.25">
      <c r="A1175" s="121"/>
      <c r="B1175" s="23"/>
      <c r="C1175" s="59"/>
      <c r="D1175" s="62"/>
      <c r="E1175" s="36"/>
      <c r="F1175" s="36"/>
      <c r="G1175" s="89"/>
      <c r="H1175" s="51">
        <f>IF(DAY(H1174)=DAY($H$1169),IF(WEEKDAY(EDATE(H1174,$D$1183),3)&lt;5,EDATE(H1174,$D$1183),WORKDAY(EDATE(H1174,$D$1183),1)),IF(WEEKDAY(EDATE($H$1169,$D$1183*COUNT($H$1169:H1174)),3)&lt;5,EDATE($H$1169,$D$1183*COUNT($H$1169:H1174)),WORKDAY(EDATE($H$1169,$D$1183*COUNT($H$1169:H1174)),1)))</f>
        <v>43742</v>
      </c>
      <c r="I1175" s="137" t="s">
        <v>13</v>
      </c>
      <c r="J1175" s="52">
        <f t="shared" si="105"/>
        <v>3198.8589041095888</v>
      </c>
      <c r="K1175" s="52">
        <f t="shared" si="106"/>
        <v>24990</v>
      </c>
      <c r="L1175" s="53">
        <f t="shared" si="107"/>
        <v>150060</v>
      </c>
      <c r="M1175" s="94">
        <f t="shared" si="108"/>
        <v>28188.858904109587</v>
      </c>
      <c r="N1175" s="25"/>
    </row>
    <row r="1176" spans="1:16" ht="15.95" customHeight="1" x14ac:dyDescent="0.25">
      <c r="A1176" s="121"/>
      <c r="B1176" s="23"/>
      <c r="C1176" s="59" t="s">
        <v>9</v>
      </c>
      <c r="D1176" s="129" t="s">
        <v>49</v>
      </c>
      <c r="E1176" s="36"/>
      <c r="F1176" s="36"/>
      <c r="G1176" s="89"/>
      <c r="H1176" s="51">
        <f>IF(DAY(H1175)=DAY($H$1169),IF(WEEKDAY(EDATE(H1175,$D$1183),3)&lt;5,EDATE(H1175,$D$1183),WORKDAY(EDATE(H1175,$D$1183),1)),IF(WEEKDAY(EDATE($H$1169,$D$1183*COUNT($H$1169:H1175)),3)&lt;5,EDATE($H$1169,$D$1183*COUNT($H$1169:H1175)),WORKDAY(EDATE($H$1169,$D$1183*COUNT($H$1169:H1175)),1)))</f>
        <v>43836</v>
      </c>
      <c r="I1176" s="137" t="s">
        <v>13</v>
      </c>
      <c r="J1176" s="52">
        <f t="shared" si="105"/>
        <v>2801.8052054794516</v>
      </c>
      <c r="K1176" s="52">
        <f t="shared" si="106"/>
        <v>24990</v>
      </c>
      <c r="L1176" s="53">
        <f t="shared" si="107"/>
        <v>125070</v>
      </c>
      <c r="M1176" s="94">
        <f t="shared" si="108"/>
        <v>27791.805205479453</v>
      </c>
      <c r="N1176" s="25"/>
    </row>
    <row r="1177" spans="1:16" ht="15.95" customHeight="1" x14ac:dyDescent="0.25">
      <c r="A1177" s="121"/>
      <c r="B1177" s="23"/>
      <c r="C1177" s="59" t="s">
        <v>51</v>
      </c>
      <c r="D1177" s="138" t="s">
        <v>49</v>
      </c>
      <c r="E1177" s="36"/>
      <c r="F1177" s="36"/>
      <c r="G1177" s="89"/>
      <c r="H1177" s="51">
        <f>IF(DAY(H1176)=DAY($H$1169),IF(WEEKDAY(EDATE(H1176,$D$1183),3)&lt;5,EDATE(H1176,$D$1183),WORKDAY(EDATE(H1176,$D$1183),1)),IF(WEEKDAY(EDATE($H$1169,$D$1183*COUNT($H$1169:H1176)),3)&lt;5,EDATE($H$1169,$D$1183*COUNT($H$1169:H1176)),WORKDAY(EDATE($H$1169,$D$1183*COUNT($H$1169:H1176)),1)))</f>
        <v>43927</v>
      </c>
      <c r="I1177" s="137" t="s">
        <v>13</v>
      </c>
      <c r="J1177" s="52">
        <f t="shared" si="105"/>
        <v>2260.6830821917806</v>
      </c>
      <c r="K1177" s="52">
        <f t="shared" si="106"/>
        <v>24990</v>
      </c>
      <c r="L1177" s="53">
        <f t="shared" si="107"/>
        <v>100080</v>
      </c>
      <c r="M1177" s="94">
        <f t="shared" si="108"/>
        <v>27250.683082191779</v>
      </c>
      <c r="N1177" s="25"/>
    </row>
    <row r="1178" spans="1:16" ht="15.95" customHeight="1" x14ac:dyDescent="0.25">
      <c r="A1178" s="121"/>
      <c r="B1178" s="23"/>
      <c r="C1178" s="59" t="s">
        <v>52</v>
      </c>
      <c r="D1178" s="138" t="s">
        <v>49</v>
      </c>
      <c r="E1178" s="36"/>
      <c r="F1178" s="36"/>
      <c r="G1178" s="89"/>
      <c r="H1178" s="51">
        <f>IF(DAY(H1177)=DAY($H$1169),IF(WEEKDAY(EDATE(H1177,$D$1183),3)&lt;5,EDATE(H1177,$D$1183),WORKDAY(EDATE(H1177,$D$1183),1)),IF(WEEKDAY(EDATE($H$1169,$D$1183*COUNT($H$1169:H1177)),3)&lt;5,EDATE($H$1169,$D$1183*COUNT($H$1169:H1177)),WORKDAY(EDATE($H$1169,$D$1183*COUNT($H$1169:H1177)),1)))</f>
        <v>44018</v>
      </c>
      <c r="I1178" s="137" t="s">
        <v>13</v>
      </c>
      <c r="J1178" s="52">
        <f t="shared" si="105"/>
        <v>1808.9802739726026</v>
      </c>
      <c r="K1178" s="52">
        <f t="shared" si="106"/>
        <v>24990</v>
      </c>
      <c r="L1178" s="53">
        <f t="shared" si="107"/>
        <v>75090</v>
      </c>
      <c r="M1178" s="94">
        <f t="shared" si="108"/>
        <v>26798.980273972604</v>
      </c>
      <c r="N1178" s="25"/>
      <c r="O1178" s="97">
        <f>+M1325</f>
        <v>-350000</v>
      </c>
    </row>
    <row r="1179" spans="1:16" ht="15.95" customHeight="1" x14ac:dyDescent="0.25">
      <c r="A1179" s="121"/>
      <c r="B1179" s="23"/>
      <c r="C1179" s="59" t="s">
        <v>10</v>
      </c>
      <c r="D1179" s="139">
        <v>43186</v>
      </c>
      <c r="E1179" s="36"/>
      <c r="F1179" s="36"/>
      <c r="G1179" s="89"/>
      <c r="H1179" s="51">
        <f>IF(DAY(H1178)=DAY($H$1169),IF(WEEKDAY(EDATE(H1178,$D$1183),3)&lt;5,EDATE(H1178,$D$1183),WORKDAY(EDATE(H1178,$D$1183),1)),IF(WEEKDAY(EDATE($H$1169,$D$1183*COUNT($H$1169:H1178)),3)&lt;5,EDATE($H$1169,$D$1183*COUNT($H$1169:H1178)),WORKDAY(EDATE($H$1169,$D$1183*COUNT($H$1169:H1178)),1)))</f>
        <v>44109</v>
      </c>
      <c r="I1179" s="137" t="s">
        <v>13</v>
      </c>
      <c r="J1179" s="52">
        <f t="shared" si="105"/>
        <v>1357.2774657534246</v>
      </c>
      <c r="K1179" s="52">
        <f t="shared" si="106"/>
        <v>24990</v>
      </c>
      <c r="L1179" s="53">
        <f t="shared" si="107"/>
        <v>50100</v>
      </c>
      <c r="M1179" s="94">
        <f t="shared" si="108"/>
        <v>26347.277465753425</v>
      </c>
      <c r="N1179" s="25"/>
      <c r="O1179" s="97">
        <f t="shared" ref="O1179:O1190" si="109">+M1326+O1178</f>
        <v>-339758.90410958906</v>
      </c>
    </row>
    <row r="1180" spans="1:16" ht="15.95" customHeight="1" x14ac:dyDescent="0.25">
      <c r="A1180" s="121"/>
      <c r="B1180" s="23"/>
      <c r="C1180" s="59" t="s">
        <v>11</v>
      </c>
      <c r="D1180" s="139">
        <v>43194</v>
      </c>
      <c r="E1180" s="41"/>
      <c r="F1180" s="24"/>
      <c r="G1180" s="90"/>
      <c r="H1180" s="51">
        <f>IF(DAY(H1179)=DAY($H$1169),IF(WEEKDAY(EDATE(H1179,$D$1183),3)&lt;5,EDATE(H1179,$D$1183),WORKDAY(EDATE(H1179,$D$1183),1)),IF(WEEKDAY(EDATE($H$1169,$D$1183*COUNT($H$1169:H1179)),3)&lt;5,EDATE($H$1169,$D$1183*COUNT($H$1169:H1179)),WORKDAY(EDATE($H$1169,$D$1183*COUNT($H$1169:H1179)),1)))</f>
        <v>44200</v>
      </c>
      <c r="I1180" s="137" t="s">
        <v>13</v>
      </c>
      <c r="J1180" s="52">
        <f t="shared" si="105"/>
        <v>905.57465753424651</v>
      </c>
      <c r="K1180" s="52">
        <f t="shared" si="106"/>
        <v>24990</v>
      </c>
      <c r="L1180" s="53">
        <f t="shared" si="107"/>
        <v>25110</v>
      </c>
      <c r="M1180" s="94">
        <f t="shared" si="108"/>
        <v>25895.574657534245</v>
      </c>
      <c r="N1180" s="25"/>
      <c r="O1180" s="97">
        <f t="shared" si="109"/>
        <v>-329172.60273972602</v>
      </c>
    </row>
    <row r="1181" spans="1:16" ht="15.95" customHeight="1" x14ac:dyDescent="0.25">
      <c r="A1181" s="121"/>
      <c r="B1181" s="23"/>
      <c r="C1181" s="59" t="s">
        <v>12</v>
      </c>
      <c r="D1181" s="139">
        <v>44292</v>
      </c>
      <c r="E1181" s="36"/>
      <c r="F1181" s="24"/>
      <c r="G1181" s="90"/>
      <c r="H1181" s="51">
        <f>IF(DAY(H1180)=DAY($H$1169),IF(WEEKDAY(EDATE(H1180,$D$1183),3)&lt;5,EDATE(H1180,$D$1183),WORKDAY(EDATE(H1180,$D$1183),1)),IF(WEEKDAY(EDATE($H$1169,$D$1183*COUNT($H$1169:H1180)),3)&lt;5,EDATE($H$1169,$D$1183*COUNT($H$1169:H1180)),WORKDAY(EDATE($H$1169,$D$1183*COUNT($H$1169:H1180)),1)))</f>
        <v>44291</v>
      </c>
      <c r="I1181" s="137" t="s">
        <v>13</v>
      </c>
      <c r="J1181" s="52">
        <f t="shared" si="105"/>
        <v>453.87184931506846</v>
      </c>
      <c r="K1181" s="52">
        <f>+IF(OR(I1181="A + C",I1181="A"),$L$1169*$D$1186,0)+120</f>
        <v>25110</v>
      </c>
      <c r="L1181" s="53">
        <f t="shared" si="107"/>
        <v>0</v>
      </c>
      <c r="M1181" s="94">
        <f t="shared" si="108"/>
        <v>25563.87184931507</v>
      </c>
      <c r="N1181" s="25"/>
      <c r="O1181" s="97">
        <f t="shared" si="109"/>
        <v>-318586.30136986298</v>
      </c>
    </row>
    <row r="1182" spans="1:16" ht="15.95" customHeight="1" x14ac:dyDescent="0.25">
      <c r="A1182" s="121"/>
      <c r="B1182" s="23"/>
      <c r="C1182" s="59" t="s">
        <v>27</v>
      </c>
      <c r="D1182" s="140">
        <v>300000</v>
      </c>
      <c r="E1182" s="43"/>
      <c r="F1182" s="24"/>
      <c r="G1182" s="90"/>
      <c r="H1182" s="54"/>
      <c r="I1182" s="144"/>
      <c r="J1182" s="55"/>
      <c r="K1182" s="56"/>
      <c r="L1182" s="57"/>
      <c r="M1182" s="95"/>
      <c r="N1182" s="25"/>
      <c r="O1182" s="97">
        <f t="shared" si="109"/>
        <v>-268884.8630136986</v>
      </c>
    </row>
    <row r="1183" spans="1:16" ht="15.95" customHeight="1" x14ac:dyDescent="0.25">
      <c r="A1183" s="121"/>
      <c r="B1183" s="23"/>
      <c r="C1183" s="59" t="s">
        <v>26</v>
      </c>
      <c r="D1183" s="140">
        <v>3</v>
      </c>
      <c r="E1183" s="43"/>
      <c r="F1183" s="24"/>
      <c r="G1183" s="90"/>
      <c r="H1183" s="24"/>
      <c r="I1183" s="24"/>
      <c r="J1183" s="24"/>
      <c r="K1183" s="24"/>
      <c r="L1183" s="24"/>
      <c r="M1183" s="24"/>
      <c r="N1183" s="25"/>
      <c r="O1183" s="97">
        <f t="shared" si="109"/>
        <v>-221101.12164383559</v>
      </c>
      <c r="P1183" s="29"/>
    </row>
    <row r="1184" spans="1:16" ht="15.95" customHeight="1" x14ac:dyDescent="0.25">
      <c r="A1184" s="121"/>
      <c r="B1184" s="23"/>
      <c r="C1184" s="59" t="s">
        <v>19</v>
      </c>
      <c r="D1184" s="141" t="s">
        <v>50</v>
      </c>
      <c r="E1184" s="43"/>
      <c r="F1184" s="24"/>
      <c r="G1184" s="90"/>
      <c r="H1184" s="680" t="s">
        <v>43</v>
      </c>
      <c r="I1184" s="680"/>
      <c r="J1184" s="92">
        <v>0</v>
      </c>
      <c r="K1184" s="92"/>
      <c r="L1184" s="24"/>
      <c r="M1184" s="33"/>
      <c r="N1184" s="25"/>
      <c r="O1184" s="97">
        <f t="shared" si="109"/>
        <v>-173982.09643835615</v>
      </c>
      <c r="P1184" s="29"/>
    </row>
    <row r="1185" spans="1:16" ht="15.95" customHeight="1" x14ac:dyDescent="0.25">
      <c r="A1185" s="121"/>
      <c r="B1185" s="23"/>
      <c r="C1185" s="59" t="s">
        <v>14</v>
      </c>
      <c r="D1185" s="142">
        <v>7.2499999999999995E-2</v>
      </c>
      <c r="E1185" s="44"/>
      <c r="F1185" s="24"/>
      <c r="G1185" s="90"/>
      <c r="H1185" s="657"/>
      <c r="I1185" s="657"/>
      <c r="J1185" s="392"/>
      <c r="K1185" s="24"/>
      <c r="L1185" s="33"/>
      <c r="M1185" s="33"/>
      <c r="N1185" s="25"/>
      <c r="O1185" s="97">
        <f t="shared" si="109"/>
        <v>-127885.77698630135</v>
      </c>
    </row>
    <row r="1186" spans="1:16" ht="15.95" customHeight="1" x14ac:dyDescent="0.25">
      <c r="A1186" s="121"/>
      <c r="B1186" s="23"/>
      <c r="C1186" s="59" t="s">
        <v>93</v>
      </c>
      <c r="D1186" s="143">
        <v>8.3299999999999999E-2</v>
      </c>
      <c r="E1186" s="24"/>
      <c r="F1186" s="24"/>
      <c r="G1186" s="90"/>
      <c r="H1186" s="24"/>
      <c r="I1186" s="24"/>
      <c r="J1186" s="24"/>
      <c r="K1186" s="24"/>
      <c r="L1186" s="24"/>
      <c r="M1186" s="24"/>
      <c r="N1186" s="25"/>
      <c r="O1186" s="97">
        <f t="shared" si="109"/>
        <v>-83182.959999999992</v>
      </c>
      <c r="P1186" s="29"/>
    </row>
    <row r="1187" spans="1:16" ht="15.95" customHeight="1" x14ac:dyDescent="0.25">
      <c r="A1187" s="121"/>
      <c r="B1187" s="23"/>
      <c r="C1187" s="63"/>
      <c r="D1187" s="145"/>
      <c r="E1187" s="24"/>
      <c r="F1187" s="24"/>
      <c r="G1187" s="90"/>
      <c r="H1187" s="638" t="s">
        <v>44</v>
      </c>
      <c r="I1187" s="639"/>
      <c r="J1187" s="639"/>
      <c r="K1187" s="639"/>
      <c r="L1187" s="639"/>
      <c r="M1187" s="640"/>
      <c r="N1187" s="25"/>
      <c r="O1187" s="97">
        <f t="shared" si="109"/>
        <v>-39643.496986301361</v>
      </c>
      <c r="P1187" s="29"/>
    </row>
    <row r="1188" spans="1:16" ht="15.95" customHeight="1" x14ac:dyDescent="0.25">
      <c r="A1188" s="121"/>
      <c r="B1188" s="23"/>
      <c r="C1188" s="24"/>
      <c r="D1188" s="24"/>
      <c r="E1188" s="24"/>
      <c r="F1188" s="24"/>
      <c r="G1188" s="90"/>
      <c r="H1188" s="23"/>
      <c r="I1188" s="24"/>
      <c r="J1188" s="24"/>
      <c r="K1188" s="24"/>
      <c r="L1188" s="24"/>
      <c r="M1188" s="25"/>
      <c r="N1188" s="25"/>
      <c r="O1188" s="97">
        <f t="shared" si="109"/>
        <v>2732.612054794532</v>
      </c>
    </row>
    <row r="1189" spans="1:16" ht="15.95" customHeight="1" x14ac:dyDescent="0.25">
      <c r="A1189" s="121"/>
      <c r="B1189" s="23"/>
      <c r="C1189" s="24"/>
      <c r="D1189" s="24"/>
      <c r="E1189" s="24"/>
      <c r="F1189" s="24"/>
      <c r="G1189" s="90"/>
      <c r="H1189" s="23"/>
      <c r="I1189" s="24"/>
      <c r="J1189" s="24"/>
      <c r="K1189" s="24"/>
      <c r="L1189" s="24"/>
      <c r="M1189" s="25"/>
      <c r="N1189" s="25"/>
      <c r="O1189" s="97">
        <f t="shared" si="109"/>
        <v>43945.36712328768</v>
      </c>
    </row>
    <row r="1190" spans="1:16" ht="15.95" customHeight="1" x14ac:dyDescent="0.25">
      <c r="A1190" s="121"/>
      <c r="B1190" s="23"/>
      <c r="C1190" s="24"/>
      <c r="D1190" s="24"/>
      <c r="E1190" s="24"/>
      <c r="F1190" s="24"/>
      <c r="G1190" s="90"/>
      <c r="H1190" s="96"/>
      <c r="I1190" s="35"/>
      <c r="J1190" s="24"/>
      <c r="K1190" s="24"/>
      <c r="L1190" s="24"/>
      <c r="M1190" s="25"/>
      <c r="N1190" s="25"/>
      <c r="O1190" s="97">
        <f t="shared" si="109"/>
        <v>84042.563835616456</v>
      </c>
    </row>
    <row r="1191" spans="1:16" ht="15.95" customHeight="1" x14ac:dyDescent="0.25">
      <c r="A1191" s="121"/>
      <c r="B1191" s="23"/>
      <c r="C1191" s="24"/>
      <c r="D1191" s="24"/>
      <c r="E1191" s="24"/>
      <c r="F1191" s="24"/>
      <c r="G1191" s="90"/>
      <c r="H1191" s="23"/>
      <c r="I1191" s="24"/>
      <c r="J1191" s="24"/>
      <c r="K1191" s="24"/>
      <c r="L1191" s="24"/>
      <c r="M1191" s="25"/>
      <c r="N1191" s="25"/>
    </row>
    <row r="1192" spans="1:16" ht="15.95" customHeight="1" x14ac:dyDescent="0.25">
      <c r="A1192" s="121"/>
      <c r="B1192" s="23"/>
      <c r="C1192" s="24"/>
      <c r="D1192" s="24"/>
      <c r="E1192" s="24"/>
      <c r="F1192" s="24"/>
      <c r="G1192" s="90"/>
      <c r="H1192" s="23"/>
      <c r="I1192" s="24"/>
      <c r="J1192" s="24"/>
      <c r="K1192" s="24"/>
      <c r="L1192" s="24"/>
      <c r="M1192" s="25"/>
      <c r="N1192" s="25"/>
    </row>
    <row r="1193" spans="1:16" ht="15.95" customHeight="1" x14ac:dyDescent="0.25">
      <c r="A1193" s="121"/>
      <c r="B1193" s="23"/>
      <c r="C1193" s="24"/>
      <c r="D1193" s="24"/>
      <c r="E1193" s="24"/>
      <c r="F1193" s="24"/>
      <c r="G1193" s="90"/>
      <c r="H1193" s="23"/>
      <c r="I1193" s="24"/>
      <c r="J1193" s="24"/>
      <c r="K1193" s="24"/>
      <c r="L1193" s="24"/>
      <c r="M1193" s="25"/>
      <c r="N1193" s="25"/>
    </row>
    <row r="1194" spans="1:16" ht="15.95" customHeight="1" x14ac:dyDescent="0.25">
      <c r="A1194" s="121"/>
      <c r="B1194" s="23"/>
      <c r="C1194" s="24"/>
      <c r="D1194" s="24"/>
      <c r="E1194" s="24"/>
      <c r="F1194" s="24"/>
      <c r="G1194" s="90"/>
      <c r="H1194" s="23"/>
      <c r="I1194" s="24"/>
      <c r="J1194" s="24"/>
      <c r="K1194" s="24"/>
      <c r="L1194" s="24"/>
      <c r="M1194" s="25"/>
      <c r="N1194" s="25"/>
    </row>
    <row r="1195" spans="1:16" ht="15.95" customHeight="1" x14ac:dyDescent="0.25">
      <c r="A1195" s="121"/>
      <c r="B1195" s="23"/>
      <c r="C1195" s="24"/>
      <c r="D1195" s="24"/>
      <c r="E1195" s="24"/>
      <c r="F1195" s="24"/>
      <c r="G1195" s="90"/>
      <c r="H1195" s="23"/>
      <c r="I1195" s="24"/>
      <c r="J1195" s="24"/>
      <c r="K1195" s="24"/>
      <c r="L1195" s="24"/>
      <c r="M1195" s="25"/>
      <c r="N1195" s="25"/>
    </row>
    <row r="1196" spans="1:16" ht="15.95" customHeight="1" x14ac:dyDescent="0.25">
      <c r="A1196" s="121"/>
      <c r="B1196" s="23"/>
      <c r="C1196" s="24"/>
      <c r="D1196" s="24"/>
      <c r="E1196" s="24"/>
      <c r="F1196" s="24"/>
      <c r="G1196" s="90"/>
      <c r="H1196" s="23"/>
      <c r="I1196" s="24"/>
      <c r="J1196" s="24"/>
      <c r="K1196" s="24"/>
      <c r="L1196" s="24"/>
      <c r="M1196" s="25"/>
      <c r="N1196" s="25"/>
    </row>
    <row r="1197" spans="1:16" ht="15.95" customHeight="1" x14ac:dyDescent="0.25">
      <c r="A1197" s="121"/>
      <c r="B1197" s="23"/>
      <c r="C1197" s="24"/>
      <c r="D1197" s="24"/>
      <c r="E1197" s="24"/>
      <c r="F1197" s="24"/>
      <c r="G1197" s="90"/>
      <c r="H1197" s="23"/>
      <c r="I1197" s="24"/>
      <c r="J1197" s="24"/>
      <c r="K1197" s="24"/>
      <c r="L1197" s="24"/>
      <c r="M1197" s="25"/>
      <c r="N1197" s="25"/>
    </row>
    <row r="1198" spans="1:16" ht="15.95" customHeight="1" x14ac:dyDescent="0.25">
      <c r="A1198" s="121"/>
      <c r="B1198" s="23"/>
      <c r="C1198" s="24"/>
      <c r="D1198" s="24"/>
      <c r="E1198" s="24"/>
      <c r="F1198" s="24"/>
      <c r="G1198" s="90"/>
      <c r="H1198" s="23"/>
      <c r="I1198" s="24"/>
      <c r="J1198" s="24"/>
      <c r="K1198" s="24"/>
      <c r="L1198" s="24"/>
      <c r="M1198" s="25"/>
      <c r="N1198" s="25"/>
    </row>
    <row r="1199" spans="1:16" ht="15.95" customHeight="1" x14ac:dyDescent="0.25">
      <c r="A1199" s="121"/>
      <c r="B1199" s="23"/>
      <c r="C1199" s="24"/>
      <c r="D1199" s="24"/>
      <c r="E1199" s="24"/>
      <c r="F1199" s="24"/>
      <c r="G1199" s="90"/>
      <c r="H1199" s="26"/>
      <c r="I1199" s="27"/>
      <c r="J1199" s="27"/>
      <c r="K1199" s="27"/>
      <c r="L1199" s="27"/>
      <c r="M1199" s="28"/>
      <c r="N1199" s="25"/>
    </row>
    <row r="1200" spans="1:16" ht="15.95" customHeight="1" x14ac:dyDescent="0.25">
      <c r="A1200" s="121"/>
      <c r="B1200" s="26"/>
      <c r="C1200" s="85"/>
      <c r="D1200" s="27"/>
      <c r="E1200" s="27"/>
      <c r="F1200" s="27"/>
      <c r="G1200" s="91"/>
      <c r="H1200" s="27"/>
      <c r="I1200" s="27"/>
      <c r="J1200" s="27"/>
      <c r="K1200" s="27"/>
      <c r="L1200" s="27"/>
      <c r="M1200" s="27"/>
      <c r="N1200" s="28"/>
    </row>
    <row r="1201" spans="1:15" ht="15.95" customHeight="1" x14ac:dyDescent="0.25">
      <c r="A1201" s="121"/>
      <c r="B1201" s="23"/>
      <c r="C1201" s="24"/>
      <c r="D1201" s="24"/>
      <c r="E1201" s="24"/>
      <c r="F1201" s="24"/>
      <c r="G1201" s="24"/>
      <c r="H1201" s="24"/>
      <c r="I1201" s="24"/>
      <c r="J1201" s="24"/>
      <c r="K1201" s="24"/>
      <c r="L1201" s="24"/>
      <c r="M1201" s="24"/>
      <c r="N1201" s="25"/>
    </row>
    <row r="1202" spans="1:15" ht="15.95" customHeight="1" x14ac:dyDescent="0.25">
      <c r="A1202" s="121"/>
      <c r="B1202" s="23"/>
      <c r="C1202" s="24"/>
      <c r="D1202" s="24"/>
      <c r="E1202" s="24"/>
      <c r="F1202" s="24"/>
      <c r="G1202" s="24"/>
      <c r="H1202" s="24"/>
      <c r="I1202" s="24"/>
      <c r="J1202" s="24"/>
      <c r="K1202" s="24"/>
      <c r="L1202" s="24"/>
      <c r="M1202" s="24"/>
      <c r="N1202" s="25"/>
    </row>
    <row r="1203" spans="1:15" ht="15.95" customHeight="1" x14ac:dyDescent="0.25">
      <c r="A1203" s="122" t="s">
        <v>126</v>
      </c>
      <c r="B1203" s="683" t="s">
        <v>252</v>
      </c>
      <c r="C1203" s="684"/>
      <c r="D1203" s="684"/>
      <c r="E1203" s="684"/>
      <c r="F1203" s="684"/>
      <c r="G1203" s="684"/>
      <c r="H1203" s="684"/>
      <c r="I1203" s="684"/>
      <c r="J1203" s="684"/>
      <c r="K1203" s="684"/>
      <c r="L1203" s="684"/>
      <c r="M1203" s="684"/>
      <c r="N1203" s="685"/>
    </row>
    <row r="1204" spans="1:15" ht="15.95" customHeight="1" x14ac:dyDescent="0.25">
      <c r="A1204" s="121"/>
      <c r="B1204" s="23"/>
      <c r="C1204" s="24"/>
      <c r="D1204" s="24"/>
      <c r="E1204" s="24"/>
      <c r="F1204" s="31"/>
      <c r="G1204" s="87"/>
      <c r="H1204" s="31"/>
      <c r="I1204" s="31"/>
      <c r="J1204" s="24"/>
      <c r="K1204" s="24"/>
      <c r="L1204" s="24"/>
      <c r="M1204" s="24"/>
      <c r="N1204" s="25"/>
    </row>
    <row r="1205" spans="1:15" ht="15.95" customHeight="1" x14ac:dyDescent="0.25">
      <c r="A1205" s="121"/>
      <c r="B1205" s="23"/>
      <c r="C1205" s="638" t="s">
        <v>37</v>
      </c>
      <c r="D1205" s="639"/>
      <c r="E1205" s="640"/>
      <c r="F1205" s="31"/>
      <c r="G1205" s="87"/>
      <c r="H1205" s="641" t="s">
        <v>28</v>
      </c>
      <c r="I1205" s="642"/>
      <c r="J1205" s="39">
        <f>+$D$1225-SUMIF($H$1211:$H$1219,"&lt;"&amp;$M$4,$K$1211:$K$1219)</f>
        <v>0</v>
      </c>
      <c r="K1205" s="24"/>
      <c r="L1205" s="24"/>
      <c r="M1205" s="24"/>
      <c r="N1205" s="25"/>
    </row>
    <row r="1206" spans="1:15" ht="15.95" customHeight="1" x14ac:dyDescent="0.25">
      <c r="A1206" s="121"/>
      <c r="B1206" s="23"/>
      <c r="C1206" s="58"/>
      <c r="D1206" s="664"/>
      <c r="E1206" s="665"/>
      <c r="F1206" s="31"/>
      <c r="G1206" s="87"/>
      <c r="H1206" s="645" t="s">
        <v>29</v>
      </c>
      <c r="I1206" s="646"/>
      <c r="J1206" s="40">
        <f>+$D$1224</f>
        <v>44548</v>
      </c>
      <c r="K1206" s="24"/>
      <c r="L1206" s="24"/>
      <c r="M1206" s="24"/>
      <c r="N1206" s="25"/>
    </row>
    <row r="1207" spans="1:15" ht="15.95" customHeight="1" x14ac:dyDescent="0.25">
      <c r="A1207" s="121"/>
      <c r="B1207" s="23"/>
      <c r="C1207" s="59" t="s">
        <v>25</v>
      </c>
      <c r="D1207" s="681"/>
      <c r="E1207" s="682"/>
      <c r="F1207" s="31"/>
      <c r="G1207" s="87"/>
      <c r="H1207" s="649" t="s">
        <v>30</v>
      </c>
      <c r="I1207" s="650"/>
      <c r="J1207" s="42" t="str">
        <f t="array" ref="J1207">+IF(H1218&gt;=M4,MIN(IF($H$1211:$H$1219&gt;$M$4,$H$1211:$H$1219,"")),"vencida")</f>
        <v>vencida</v>
      </c>
      <c r="K1207" s="24"/>
      <c r="L1207" s="24"/>
      <c r="M1207" s="24"/>
      <c r="N1207" s="25"/>
    </row>
    <row r="1208" spans="1:15" ht="15.95" customHeight="1" x14ac:dyDescent="0.25">
      <c r="A1208" s="121"/>
      <c r="B1208" s="23"/>
      <c r="C1208" s="59" t="s">
        <v>6</v>
      </c>
      <c r="D1208" s="681" t="s">
        <v>248</v>
      </c>
      <c r="E1208" s="682"/>
      <c r="F1208" s="31"/>
      <c r="G1208" s="87"/>
      <c r="H1208" s="24"/>
      <c r="I1208" s="24"/>
      <c r="J1208" s="24"/>
      <c r="K1208" s="24"/>
      <c r="L1208" s="24"/>
      <c r="M1208" s="24"/>
      <c r="N1208" s="25"/>
    </row>
    <row r="1209" spans="1:15" ht="15.95" customHeight="1" x14ac:dyDescent="0.25">
      <c r="A1209" s="121"/>
      <c r="B1209" s="23"/>
      <c r="C1209" s="59" t="s">
        <v>8</v>
      </c>
      <c r="D1209" s="681" t="s">
        <v>17</v>
      </c>
      <c r="E1209" s="682"/>
      <c r="F1209" s="31"/>
      <c r="G1209" s="87"/>
      <c r="H1209" s="651" t="s">
        <v>41</v>
      </c>
      <c r="I1209" s="652"/>
      <c r="J1209" s="652"/>
      <c r="K1209" s="652"/>
      <c r="L1209" s="653"/>
      <c r="M1209" s="24"/>
      <c r="N1209" s="25"/>
    </row>
    <row r="1210" spans="1:15" ht="15.95" customHeight="1" x14ac:dyDescent="0.25">
      <c r="A1210" s="121"/>
      <c r="B1210" s="23"/>
      <c r="C1210" s="59" t="s">
        <v>33</v>
      </c>
      <c r="D1210" s="132" t="s">
        <v>309</v>
      </c>
      <c r="E1210" s="274">
        <v>1</v>
      </c>
      <c r="F1210" s="281">
        <f>+E1210*J1205</f>
        <v>0</v>
      </c>
      <c r="G1210" s="87"/>
      <c r="H1210" s="126" t="s">
        <v>0</v>
      </c>
      <c r="I1210" s="127" t="s">
        <v>2</v>
      </c>
      <c r="J1210" s="127" t="s">
        <v>3</v>
      </c>
      <c r="K1210" s="127" t="s">
        <v>4</v>
      </c>
      <c r="L1210" s="128" t="s">
        <v>5</v>
      </c>
      <c r="M1210" s="127" t="s">
        <v>44</v>
      </c>
      <c r="N1210" s="25"/>
    </row>
    <row r="1211" spans="1:15" ht="20.100000000000001" customHeight="1" x14ac:dyDescent="0.25">
      <c r="A1211" s="121"/>
      <c r="B1211" s="23"/>
      <c r="C1211" s="59" t="s">
        <v>34</v>
      </c>
      <c r="D1211" s="681" t="s">
        <v>48</v>
      </c>
      <c r="E1211" s="682"/>
      <c r="F1211" s="31"/>
      <c r="G1211" s="87"/>
      <c r="H1211" s="45"/>
      <c r="I1211" s="46"/>
      <c r="J1211" s="46"/>
      <c r="K1211" s="46"/>
      <c r="L1211" s="47"/>
      <c r="M1211" s="23"/>
      <c r="N1211" s="25"/>
    </row>
    <row r="1212" spans="1:15" ht="15.95" customHeight="1" x14ac:dyDescent="0.25">
      <c r="A1212" s="121"/>
      <c r="B1212" s="23"/>
      <c r="C1212" s="79" t="s">
        <v>38</v>
      </c>
      <c r="D1212" s="130"/>
      <c r="E1212" s="131"/>
      <c r="F1212" s="31"/>
      <c r="G1212" s="87"/>
      <c r="H1212" s="48">
        <f>+$D$1223</f>
        <v>43452</v>
      </c>
      <c r="I1212" s="136"/>
      <c r="J1212" s="49"/>
      <c r="K1212" s="49"/>
      <c r="L1212" s="50">
        <f>+D1225</f>
        <v>150000</v>
      </c>
      <c r="M1212" s="93">
        <f>-L1212</f>
        <v>-150000</v>
      </c>
      <c r="N1212" s="25"/>
    </row>
    <row r="1213" spans="1:15" ht="15.95" customHeight="1" x14ac:dyDescent="0.25">
      <c r="A1213" s="121"/>
      <c r="B1213" s="23"/>
      <c r="C1213" s="59"/>
      <c r="D1213" s="132"/>
      <c r="E1213" s="133"/>
      <c r="F1213" s="31"/>
      <c r="G1213" s="87"/>
      <c r="H1213" s="51">
        <f>IF(DAY(H1212)=DAY($H$1212),IF(WEEKDAY(EDATE(H1212,$D$1226),3)&lt;5,EDATE(H1212,$D$1226),WORKDAY(EDATE(H1212,$D$1226),1)),IF(WEEKDAY(EDATE($H$1212,$D$1226*COUNT($H$1212:H1212)),3)&lt;5,EDATE($H$1212,$D$1226*COUNT($H$1212:H1212)),WORKDAY(EDATE($H$1212,$D$1226*COUNT($H$1212:H1212)),1)))</f>
        <v>43634</v>
      </c>
      <c r="I1213" s="137" t="s">
        <v>13</v>
      </c>
      <c r="J1213" s="52">
        <f t="shared" ref="J1213:J1218" si="110">+(($D$1228/365)*(H1213-H1212))*L1212</f>
        <v>7389.6986301369852</v>
      </c>
      <c r="K1213" s="52">
        <f>+IF(OR(I1213="A + C",I1213="A"),$L$1212*$D$1229,0)</f>
        <v>25004.999999999996</v>
      </c>
      <c r="L1213" s="53">
        <f t="shared" ref="L1213:L1218" si="111">+L1212-K1213</f>
        <v>124995</v>
      </c>
      <c r="M1213" s="94">
        <f t="shared" ref="M1213:M1218" si="112">+J1213+K1213</f>
        <v>32394.698630136983</v>
      </c>
      <c r="N1213" s="25"/>
      <c r="O1213" s="194" t="str">
        <f>+D1364</f>
        <v>ON Pyme CNV Garantizada</v>
      </c>
    </row>
    <row r="1214" spans="1:15" ht="15.95" customHeight="1" x14ac:dyDescent="0.25">
      <c r="A1214" s="121"/>
      <c r="B1214" s="23"/>
      <c r="C1214" s="60"/>
      <c r="D1214" s="134"/>
      <c r="E1214" s="135"/>
      <c r="F1214" s="34"/>
      <c r="G1214" s="88"/>
      <c r="H1214" s="51">
        <f>IF(DAY(H1213)=DAY($H$1212),IF(WEEKDAY(EDATE(H1213,$D$1226),3)&lt;5,EDATE(H1213,$D$1226),WORKDAY(EDATE(H1213,$D$1226),1)),IF(WEEKDAY(EDATE($H$1212,$D$1226*COUNT($H$1212:H1213)),3)&lt;5,EDATE($H$1212,$D$1226*COUNT($H$1212:H1213)),WORKDAY(EDATE($H$1212,$D$1226*COUNT($H$1212:H1213)),1)))</f>
        <v>43817</v>
      </c>
      <c r="I1214" s="137" t="s">
        <v>13</v>
      </c>
      <c r="J1214" s="52">
        <f t="shared" si="110"/>
        <v>6191.6701315068485</v>
      </c>
      <c r="K1214" s="52">
        <f>+IF(OR(I1214="A + C",I1214="A"),$L$1212*$D$1229,0)</f>
        <v>25004.999999999996</v>
      </c>
      <c r="L1214" s="53">
        <f t="shared" si="111"/>
        <v>99990</v>
      </c>
      <c r="M1214" s="94">
        <f t="shared" si="112"/>
        <v>31196.670131506846</v>
      </c>
      <c r="N1214" s="25"/>
    </row>
    <row r="1215" spans="1:15" ht="15.95" customHeight="1" x14ac:dyDescent="0.25">
      <c r="A1215" s="121"/>
      <c r="B1215" s="23"/>
      <c r="C1215" s="60"/>
      <c r="D1215" s="55" t="str">
        <f>B1203</f>
        <v>Josa I</v>
      </c>
      <c r="E1215" s="64"/>
      <c r="F1215" s="34"/>
      <c r="G1215" s="88">
        <f>J1205</f>
        <v>0</v>
      </c>
      <c r="H1215" s="51">
        <f>IF(DAY(H1214)=DAY($H$1212),IF(WEEKDAY(EDATE(H1214,$D$1226),3)&lt;5,EDATE(H1214,$D$1226),WORKDAY(EDATE(H1214,$D$1226),1)),IF(WEEKDAY(EDATE($H$1212,$D$1226*COUNT($H$1212:H1214)),3)&lt;5,EDATE($H$1212,$D$1226*COUNT($H$1212:H1214)),WORKDAY(EDATE($H$1212,$D$1226*COUNT($H$1212:H1214)),1)))</f>
        <v>44000</v>
      </c>
      <c r="I1215" s="137" t="s">
        <v>13</v>
      </c>
      <c r="J1215" s="52">
        <f t="shared" si="110"/>
        <v>4953.0388931506841</v>
      </c>
      <c r="K1215" s="52">
        <f>+IF(OR(I1215="A + C",I1215="A"),$L$1212*$D$1229,0)</f>
        <v>25004.999999999996</v>
      </c>
      <c r="L1215" s="53">
        <f t="shared" si="111"/>
        <v>74985</v>
      </c>
      <c r="M1215" s="94">
        <f t="shared" si="112"/>
        <v>29958.038893150682</v>
      </c>
      <c r="N1215" s="25"/>
      <c r="O1215" s="194" t="str">
        <f>+IF(J1362="vencida",IF(D1364='Reporte - Oscuro'!$C$40,'Reporte - Oscuro'!$C$40&amp;" vencida",IF(D1364='Reporte - Oscuro'!$C$41,'Reporte - Oscuro'!$C$41&amp;" vencida",IF(D1364='Reporte - Oscuro'!$C$42,'Reporte - Oscuro'!$C$42&amp;" vencida",'Reporte - Oscuro'!$C$43&amp;" vencida"))),D1364&amp;" vigente")</f>
        <v>ON Pyme CNV Garantizada vencida</v>
      </c>
    </row>
    <row r="1216" spans="1:15" ht="15.95" customHeight="1" x14ac:dyDescent="0.25">
      <c r="A1216" s="121"/>
      <c r="B1216" s="32"/>
      <c r="D1216" s="644"/>
      <c r="E1216" s="660"/>
      <c r="F1216" s="34"/>
      <c r="G1216" s="88"/>
      <c r="H1216" s="51">
        <f>IF(DAY(H1215)=DAY($H$1212),IF(WEEKDAY(EDATE(H1215,$D$1226),3)&lt;5,EDATE(H1215,$D$1226),WORKDAY(EDATE(H1215,$D$1226),1)),IF(WEEKDAY(EDATE($H$1212,$D$1226*COUNT($H$1212:H1215)),3)&lt;5,EDATE($H$1212,$D$1226*COUNT($H$1212:H1215)),WORKDAY(EDATE($H$1212,$D$1226*COUNT($H$1212:H1215)),1)))</f>
        <v>44183</v>
      </c>
      <c r="I1216" s="137" t="s">
        <v>13</v>
      </c>
      <c r="J1216" s="52">
        <f t="shared" si="110"/>
        <v>3714.4076547945201</v>
      </c>
      <c r="K1216" s="52">
        <f>+IF(OR(I1216="A + C",I1216="A"),$L$1212*$D$1229,0)</f>
        <v>25004.999999999996</v>
      </c>
      <c r="L1216" s="53">
        <f t="shared" si="111"/>
        <v>49980</v>
      </c>
      <c r="M1216" s="94">
        <f t="shared" si="112"/>
        <v>28719.407654794515</v>
      </c>
      <c r="N1216" s="25"/>
    </row>
    <row r="1217" spans="1:16" ht="15.95" customHeight="1" x14ac:dyDescent="0.25">
      <c r="A1217" s="121"/>
      <c r="B1217" s="23"/>
      <c r="C1217" s="638" t="s">
        <v>36</v>
      </c>
      <c r="D1217" s="640"/>
      <c r="E1217" s="36"/>
      <c r="F1217" s="34"/>
      <c r="G1217" s="88"/>
      <c r="H1217" s="51">
        <f>IF(DAY(H1216)=DAY($H$1212),IF(WEEKDAY(EDATE(H1216,$D$1226),3)&lt;5,EDATE(H1216,$D$1226),WORKDAY(EDATE(H1216,$D$1226),1)),IF(WEEKDAY(EDATE($H$1212,$D$1226*COUNT($H$1212:H1216)),3)&lt;5,EDATE($H$1212,$D$1226*COUNT($H$1212:H1216)),WORKDAY(EDATE($H$1212,$D$1226*COUNT($H$1212:H1216)),1)))</f>
        <v>44365</v>
      </c>
      <c r="I1217" s="137" t="s">
        <v>13</v>
      </c>
      <c r="J1217" s="52">
        <f t="shared" si="110"/>
        <v>2462.2475835616433</v>
      </c>
      <c r="K1217" s="52">
        <f>+IF(OR(I1217="A + C",I1217="A"),$D$1225*$D$1230,0)</f>
        <v>24990</v>
      </c>
      <c r="L1217" s="53">
        <f t="shared" si="111"/>
        <v>24990</v>
      </c>
      <c r="M1217" s="94">
        <f t="shared" si="112"/>
        <v>27452.247583561642</v>
      </c>
      <c r="N1217" s="25"/>
    </row>
    <row r="1218" spans="1:16" ht="15.95" customHeight="1" x14ac:dyDescent="0.25">
      <c r="A1218" s="121"/>
      <c r="B1218" s="23"/>
      <c r="C1218" s="59"/>
      <c r="D1218" s="62"/>
      <c r="E1218" s="36"/>
      <c r="F1218" s="36"/>
      <c r="G1218" s="89"/>
      <c r="H1218" s="51">
        <f>IF(DAY(H1217)=DAY($H$1212),IF(WEEKDAY(EDATE(H1217,$D$1226),3)&lt;5,EDATE(H1217,$D$1226),WORKDAY(EDATE(H1217,$D$1226),1)),IF(WEEKDAY(EDATE($H$1212,$D$1226*COUNT($H$1212:H1217)),3)&lt;5,EDATE($H$1212,$D$1226*COUNT($H$1212:H1217)),WORKDAY(EDATE($H$1212,$D$1226*COUNT($H$1212:H1217)),1)))</f>
        <v>44550</v>
      </c>
      <c r="I1218" s="137" t="s">
        <v>13</v>
      </c>
      <c r="J1218" s="52">
        <f t="shared" si="110"/>
        <v>1251.4170410958902</v>
      </c>
      <c r="K1218" s="52">
        <f>+IF(OR(I1218="A + C",I1218="A"),$D$1225*$D$1230,0)</f>
        <v>24990</v>
      </c>
      <c r="L1218" s="53">
        <f t="shared" si="111"/>
        <v>0</v>
      </c>
      <c r="M1218" s="94">
        <f t="shared" si="112"/>
        <v>26241.41704109589</v>
      </c>
      <c r="N1218" s="25"/>
    </row>
    <row r="1219" spans="1:16" ht="15.95" customHeight="1" x14ac:dyDescent="0.25">
      <c r="A1219" s="121"/>
      <c r="B1219" s="23"/>
      <c r="C1219" s="59" t="s">
        <v>9</v>
      </c>
      <c r="D1219" s="129" t="s">
        <v>49</v>
      </c>
      <c r="E1219" s="36"/>
      <c r="F1219" s="36"/>
      <c r="G1219" s="89"/>
      <c r="H1219" s="54"/>
      <c r="I1219" s="144"/>
      <c r="J1219" s="55"/>
      <c r="K1219" s="56"/>
      <c r="L1219" s="57"/>
      <c r="M1219" s="95"/>
      <c r="N1219" s="25"/>
    </row>
    <row r="1220" spans="1:16" ht="15.95" customHeight="1" x14ac:dyDescent="0.25">
      <c r="A1220" s="121"/>
      <c r="B1220" s="23"/>
      <c r="C1220" s="59" t="s">
        <v>51</v>
      </c>
      <c r="D1220" s="138" t="s">
        <v>18</v>
      </c>
      <c r="E1220" s="36"/>
      <c r="F1220" s="36"/>
      <c r="G1220" s="89"/>
      <c r="H1220" s="24"/>
      <c r="I1220" s="24"/>
      <c r="J1220" s="24"/>
      <c r="K1220" s="24"/>
      <c r="L1220" s="24"/>
      <c r="M1220" s="24"/>
      <c r="N1220" s="25"/>
      <c r="O1220" s="97">
        <f>+M1367</f>
        <v>-880000</v>
      </c>
    </row>
    <row r="1221" spans="1:16" ht="15.95" customHeight="1" x14ac:dyDescent="0.25">
      <c r="A1221" s="121"/>
      <c r="B1221" s="23"/>
      <c r="C1221" s="59" t="s">
        <v>52</v>
      </c>
      <c r="D1221" s="138" t="s">
        <v>18</v>
      </c>
      <c r="E1221" s="36"/>
      <c r="F1221" s="36"/>
      <c r="G1221" s="89"/>
      <c r="H1221" s="680" t="s">
        <v>43</v>
      </c>
      <c r="I1221" s="680"/>
      <c r="J1221" s="92">
        <v>0</v>
      </c>
      <c r="K1221" s="92"/>
      <c r="L1221" s="24"/>
      <c r="M1221" s="24"/>
      <c r="N1221" s="25"/>
      <c r="O1221" s="97">
        <f t="shared" ref="O1221:O1232" si="113">+M1368+O1220</f>
        <v>-862436.16438356158</v>
      </c>
    </row>
    <row r="1222" spans="1:16" ht="15.95" customHeight="1" x14ac:dyDescent="0.25">
      <c r="A1222" s="121"/>
      <c r="B1222" s="23"/>
      <c r="C1222" s="59" t="s">
        <v>10</v>
      </c>
      <c r="D1222" s="139">
        <v>43447</v>
      </c>
      <c r="E1222" s="36"/>
      <c r="F1222" s="36"/>
      <c r="G1222" s="89"/>
      <c r="H1222" s="657"/>
      <c r="I1222" s="657"/>
      <c r="J1222" s="392"/>
      <c r="K1222" s="24"/>
      <c r="L1222" s="33"/>
      <c r="M1222" s="33"/>
      <c r="N1222" s="25"/>
      <c r="O1222" s="97">
        <f t="shared" si="113"/>
        <v>-845432.87671232875</v>
      </c>
    </row>
    <row r="1223" spans="1:16" ht="15.95" customHeight="1" x14ac:dyDescent="0.25">
      <c r="A1223" s="121"/>
      <c r="B1223" s="23"/>
      <c r="C1223" s="59" t="s">
        <v>11</v>
      </c>
      <c r="D1223" s="139">
        <v>43452</v>
      </c>
      <c r="E1223" s="41"/>
      <c r="F1223" s="24"/>
      <c r="G1223" s="90"/>
      <c r="H1223" s="24"/>
      <c r="I1223" s="24"/>
      <c r="J1223" s="24"/>
      <c r="K1223" s="24"/>
      <c r="L1223" s="24"/>
      <c r="M1223" s="24"/>
      <c r="N1223" s="25"/>
      <c r="O1223" s="97">
        <f t="shared" si="113"/>
        <v>-828429.58904109593</v>
      </c>
    </row>
    <row r="1224" spans="1:16" ht="15.95" customHeight="1" x14ac:dyDescent="0.25">
      <c r="A1224" s="121"/>
      <c r="B1224" s="23"/>
      <c r="C1224" s="59" t="s">
        <v>12</v>
      </c>
      <c r="D1224" s="139">
        <v>44548</v>
      </c>
      <c r="E1224" s="36"/>
      <c r="F1224" s="24"/>
      <c r="G1224" s="90"/>
      <c r="H1224" s="638" t="s">
        <v>44</v>
      </c>
      <c r="I1224" s="639"/>
      <c r="J1224" s="639"/>
      <c r="K1224" s="639"/>
      <c r="L1224" s="639"/>
      <c r="M1224" s="640"/>
      <c r="N1224" s="25"/>
      <c r="O1224" s="97">
        <f t="shared" si="113"/>
        <v>-713658.3013698631</v>
      </c>
    </row>
    <row r="1225" spans="1:16" ht="15.95" customHeight="1" x14ac:dyDescent="0.25">
      <c r="A1225" s="121"/>
      <c r="B1225" s="23"/>
      <c r="C1225" s="59" t="s">
        <v>27</v>
      </c>
      <c r="D1225" s="140">
        <v>150000</v>
      </c>
      <c r="E1225" s="43"/>
      <c r="F1225" s="24"/>
      <c r="G1225" s="90"/>
      <c r="H1225" s="23"/>
      <c r="I1225" s="24"/>
      <c r="J1225" s="24"/>
      <c r="K1225" s="24"/>
      <c r="L1225" s="24"/>
      <c r="M1225" s="25"/>
      <c r="N1225" s="25"/>
      <c r="O1225" s="97">
        <f t="shared" si="113"/>
        <v>-600776.07895890414</v>
      </c>
      <c r="P1225" s="29"/>
    </row>
    <row r="1226" spans="1:16" ht="15.95" customHeight="1" x14ac:dyDescent="0.25">
      <c r="A1226" s="121"/>
      <c r="B1226" s="23"/>
      <c r="C1226" s="59" t="s">
        <v>26</v>
      </c>
      <c r="D1226" s="140">
        <v>6</v>
      </c>
      <c r="E1226" s="43"/>
      <c r="F1226" s="24"/>
      <c r="G1226" s="90"/>
      <c r="H1226" s="23"/>
      <c r="I1226" s="24"/>
      <c r="J1226" s="24"/>
      <c r="K1226" s="24"/>
      <c r="L1226" s="24"/>
      <c r="M1226" s="25"/>
      <c r="N1226" s="25"/>
      <c r="O1226" s="97">
        <f t="shared" si="113"/>
        <v>-489782.92180821922</v>
      </c>
      <c r="P1226" s="29"/>
    </row>
    <row r="1227" spans="1:16" ht="15.95" customHeight="1" x14ac:dyDescent="0.25">
      <c r="A1227" s="121"/>
      <c r="B1227" s="23"/>
      <c r="C1227" s="59" t="s">
        <v>19</v>
      </c>
      <c r="D1227" s="141" t="s">
        <v>50</v>
      </c>
      <c r="E1227" s="43"/>
      <c r="F1227" s="24"/>
      <c r="G1227" s="90"/>
      <c r="H1227" s="96"/>
      <c r="I1227" s="35"/>
      <c r="J1227" s="24"/>
      <c r="K1227" s="24"/>
      <c r="L1227" s="24"/>
      <c r="M1227" s="25"/>
      <c r="N1227" s="25"/>
      <c r="O1227" s="97">
        <f t="shared" si="113"/>
        <v>-380678.8299178083</v>
      </c>
    </row>
    <row r="1228" spans="1:16" ht="15.95" customHeight="1" x14ac:dyDescent="0.25">
      <c r="A1228" s="121"/>
      <c r="B1228" s="23"/>
      <c r="C1228" s="59" t="s">
        <v>14</v>
      </c>
      <c r="D1228" s="142">
        <v>9.8799999999999999E-2</v>
      </c>
      <c r="E1228" s="44"/>
      <c r="F1228" s="24"/>
      <c r="G1228" s="90"/>
      <c r="H1228" s="23"/>
      <c r="I1228" s="24"/>
      <c r="J1228" s="24"/>
      <c r="K1228" s="24"/>
      <c r="L1228" s="24"/>
      <c r="M1228" s="25"/>
      <c r="N1228" s="25"/>
      <c r="O1228" s="97">
        <f t="shared" si="113"/>
        <v>-273463.8032876713</v>
      </c>
      <c r="P1228" s="29"/>
    </row>
    <row r="1229" spans="1:16" ht="15.95" customHeight="1" x14ac:dyDescent="0.25">
      <c r="A1229" s="121"/>
      <c r="B1229" s="23"/>
      <c r="C1229" s="59" t="s">
        <v>249</v>
      </c>
      <c r="D1229" s="142">
        <v>0.16669999999999999</v>
      </c>
      <c r="E1229" s="24"/>
      <c r="F1229" s="24"/>
      <c r="G1229" s="90"/>
      <c r="H1229" s="23"/>
      <c r="I1229" s="24"/>
      <c r="J1229" s="24"/>
      <c r="K1229" s="24"/>
      <c r="L1229" s="24"/>
      <c r="M1229" s="25"/>
      <c r="N1229" s="25"/>
      <c r="O1229" s="97">
        <f t="shared" si="113"/>
        <v>-168054.78739726034</v>
      </c>
      <c r="P1229" s="29"/>
    </row>
    <row r="1230" spans="1:16" ht="15.95" customHeight="1" x14ac:dyDescent="0.25">
      <c r="A1230" s="121"/>
      <c r="B1230" s="23"/>
      <c r="C1230" s="59" t="s">
        <v>250</v>
      </c>
      <c r="D1230" s="142">
        <v>0.1666</v>
      </c>
      <c r="E1230" s="24"/>
      <c r="F1230" s="24"/>
      <c r="G1230" s="90"/>
      <c r="H1230" s="23"/>
      <c r="I1230" s="24"/>
      <c r="J1230" s="24"/>
      <c r="K1230" s="24"/>
      <c r="L1230" s="24"/>
      <c r="M1230" s="25"/>
      <c r="N1230" s="25"/>
      <c r="O1230" s="97">
        <f t="shared" si="113"/>
        <v>-64555.595726027459</v>
      </c>
    </row>
    <row r="1231" spans="1:16" ht="15.95" customHeight="1" x14ac:dyDescent="0.25">
      <c r="A1231" s="121"/>
      <c r="B1231" s="23"/>
      <c r="C1231" s="63"/>
      <c r="D1231" s="145"/>
      <c r="E1231" s="24"/>
      <c r="F1231" s="24"/>
      <c r="G1231" s="90"/>
      <c r="H1231" s="23"/>
      <c r="I1231" s="24"/>
      <c r="J1231" s="24"/>
      <c r="K1231" s="24"/>
      <c r="L1231" s="24"/>
      <c r="M1231" s="25"/>
      <c r="N1231" s="25"/>
      <c r="O1231" s="97">
        <f t="shared" si="113"/>
        <v>36992.23512328761</v>
      </c>
    </row>
    <row r="1232" spans="1:16" ht="15.95" customHeight="1" x14ac:dyDescent="0.25">
      <c r="A1232" s="121"/>
      <c r="B1232" s="23"/>
      <c r="C1232" s="24"/>
      <c r="D1232" s="24"/>
      <c r="E1232" s="24"/>
      <c r="F1232" s="24"/>
      <c r="G1232" s="90"/>
      <c r="H1232" s="23"/>
      <c r="I1232" s="24"/>
      <c r="J1232" s="24"/>
      <c r="K1232" s="24"/>
      <c r="L1232" s="24"/>
      <c r="M1232" s="25"/>
      <c r="N1232" s="25"/>
      <c r="O1232" s="97">
        <f t="shared" si="113"/>
        <v>136718.22306849307</v>
      </c>
    </row>
    <row r="1233" spans="1:14" ht="15.95" customHeight="1" x14ac:dyDescent="0.25">
      <c r="A1233" s="121"/>
      <c r="B1233" s="23"/>
      <c r="C1233" s="24"/>
      <c r="D1233" s="24"/>
      <c r="E1233" s="24"/>
      <c r="F1233" s="24"/>
      <c r="G1233" s="90"/>
      <c r="H1233" s="23"/>
      <c r="I1233" s="24"/>
      <c r="J1233" s="24"/>
      <c r="K1233" s="24"/>
      <c r="L1233" s="24"/>
      <c r="M1233" s="25"/>
      <c r="N1233" s="25"/>
    </row>
    <row r="1234" spans="1:14" ht="15.95" customHeight="1" x14ac:dyDescent="0.25">
      <c r="A1234" s="121"/>
      <c r="B1234" s="23"/>
      <c r="C1234" s="24"/>
      <c r="D1234" s="24"/>
      <c r="E1234" s="24"/>
      <c r="F1234" s="24"/>
      <c r="G1234" s="90"/>
      <c r="H1234" s="23"/>
      <c r="I1234" s="24"/>
      <c r="J1234" s="24"/>
      <c r="K1234" s="24"/>
      <c r="L1234" s="24"/>
      <c r="M1234" s="25"/>
      <c r="N1234" s="25"/>
    </row>
    <row r="1235" spans="1:14" ht="15.95" customHeight="1" x14ac:dyDescent="0.25">
      <c r="A1235" s="121"/>
      <c r="B1235" s="23"/>
      <c r="C1235" s="24"/>
      <c r="D1235" s="24"/>
      <c r="E1235" s="24"/>
      <c r="F1235" s="24"/>
      <c r="G1235" s="90"/>
      <c r="H1235" s="23"/>
      <c r="I1235" s="24"/>
      <c r="J1235" s="24"/>
      <c r="K1235" s="24"/>
      <c r="L1235" s="24"/>
      <c r="M1235" s="25"/>
      <c r="N1235" s="25"/>
    </row>
    <row r="1236" spans="1:14" ht="15.95" customHeight="1" x14ac:dyDescent="0.25">
      <c r="A1236" s="121"/>
      <c r="B1236" s="23"/>
      <c r="C1236" s="24"/>
      <c r="D1236" s="24"/>
      <c r="E1236" s="24"/>
      <c r="F1236" s="24"/>
      <c r="G1236" s="90"/>
      <c r="H1236" s="26"/>
      <c r="I1236" s="27"/>
      <c r="J1236" s="27"/>
      <c r="K1236" s="27"/>
      <c r="L1236" s="27"/>
      <c r="M1236" s="28"/>
      <c r="N1236" s="25"/>
    </row>
    <row r="1237" spans="1:14" ht="15.95" customHeight="1" x14ac:dyDescent="0.25">
      <c r="A1237" s="121"/>
      <c r="B1237" s="26"/>
      <c r="C1237" s="85"/>
      <c r="D1237" s="27"/>
      <c r="E1237" s="27"/>
      <c r="F1237" s="27"/>
      <c r="G1237" s="91"/>
      <c r="H1237" s="27"/>
      <c r="I1237" s="27"/>
      <c r="J1237" s="27"/>
      <c r="K1237" s="27"/>
      <c r="L1237" s="27"/>
      <c r="M1237" s="27"/>
      <c r="N1237" s="28"/>
    </row>
    <row r="1238" spans="1:14" ht="15.95" customHeight="1" x14ac:dyDescent="0.25">
      <c r="A1238" s="121"/>
      <c r="B1238" s="23"/>
      <c r="C1238" s="24"/>
      <c r="D1238" s="24"/>
      <c r="E1238" s="24"/>
      <c r="F1238" s="24"/>
      <c r="G1238" s="24"/>
      <c r="H1238" s="24"/>
      <c r="I1238" s="24"/>
      <c r="J1238" s="24"/>
      <c r="K1238" s="24"/>
      <c r="L1238" s="24"/>
      <c r="M1238" s="24"/>
      <c r="N1238" s="25"/>
    </row>
    <row r="1239" spans="1:14" ht="15.95" customHeight="1" x14ac:dyDescent="0.25">
      <c r="A1239" s="122" t="s">
        <v>127</v>
      </c>
      <c r="B1239" s="683" t="s">
        <v>199</v>
      </c>
      <c r="C1239" s="684"/>
      <c r="D1239" s="684"/>
      <c r="E1239" s="684"/>
      <c r="F1239" s="684"/>
      <c r="G1239" s="684"/>
      <c r="H1239" s="684"/>
      <c r="I1239" s="684"/>
      <c r="J1239" s="684"/>
      <c r="K1239" s="684"/>
      <c r="L1239" s="684"/>
      <c r="M1239" s="684"/>
      <c r="N1239" s="685"/>
    </row>
    <row r="1240" spans="1:14" ht="15.95" customHeight="1" x14ac:dyDescent="0.25">
      <c r="A1240" s="121"/>
      <c r="B1240" s="23"/>
      <c r="C1240" s="24"/>
      <c r="D1240" s="24"/>
      <c r="E1240" s="24"/>
      <c r="F1240" s="31"/>
      <c r="G1240" s="87"/>
      <c r="H1240" s="31"/>
      <c r="I1240" s="31"/>
      <c r="J1240" s="24"/>
      <c r="K1240" s="24"/>
      <c r="L1240" s="24"/>
      <c r="M1240" s="24"/>
      <c r="N1240" s="25"/>
    </row>
    <row r="1241" spans="1:14" ht="15.95" customHeight="1" x14ac:dyDescent="0.25">
      <c r="A1241" s="121"/>
      <c r="B1241" s="23"/>
      <c r="C1241" s="638" t="s">
        <v>37</v>
      </c>
      <c r="D1241" s="639"/>
      <c r="E1241" s="640"/>
      <c r="F1241" s="31"/>
      <c r="G1241" s="87"/>
      <c r="H1241" s="641" t="s">
        <v>28</v>
      </c>
      <c r="I1241" s="642"/>
      <c r="J1241" s="39">
        <f>+$D$1261-SUMIF($H$1247:$H$1253,"&lt;"&amp;$M$4,$K$1247:$K$1253)</f>
        <v>0</v>
      </c>
      <c r="K1241" s="24"/>
      <c r="L1241" s="24"/>
      <c r="M1241" s="24"/>
      <c r="N1241" s="25"/>
    </row>
    <row r="1242" spans="1:14" ht="15.95" customHeight="1" x14ac:dyDescent="0.25">
      <c r="A1242" s="121"/>
      <c r="B1242" s="23"/>
      <c r="C1242" s="58"/>
      <c r="D1242" s="664"/>
      <c r="E1242" s="665"/>
      <c r="F1242" s="31"/>
      <c r="G1242" s="87"/>
      <c r="H1242" s="645" t="s">
        <v>29</v>
      </c>
      <c r="I1242" s="646"/>
      <c r="J1242" s="40">
        <f>+$D$1260</f>
        <v>44007</v>
      </c>
      <c r="K1242" s="24"/>
      <c r="L1242" s="24"/>
      <c r="M1242" s="24"/>
      <c r="N1242" s="25"/>
    </row>
    <row r="1243" spans="1:14" ht="15.95" customHeight="1" x14ac:dyDescent="0.25">
      <c r="A1243" s="121"/>
      <c r="B1243" s="23"/>
      <c r="C1243" s="59" t="s">
        <v>25</v>
      </c>
      <c r="D1243" s="681"/>
      <c r="E1243" s="682"/>
      <c r="F1243" s="31"/>
      <c r="G1243" s="87"/>
      <c r="H1243" s="649" t="s">
        <v>30</v>
      </c>
      <c r="I1243" s="650"/>
      <c r="J1243" s="42" t="str">
        <f t="array" ref="J1243">+IF(H1252&gt;=M4,MIN(IF($H$1247:$H$1253&gt;$M$4,$H$1247:$H$1253,"")),"vencida")</f>
        <v>vencida</v>
      </c>
      <c r="K1243" s="24"/>
      <c r="L1243" s="24"/>
      <c r="M1243" s="24"/>
      <c r="N1243" s="25"/>
    </row>
    <row r="1244" spans="1:14" ht="15.95" customHeight="1" x14ac:dyDescent="0.25">
      <c r="A1244" s="121"/>
      <c r="B1244" s="23"/>
      <c r="C1244" s="59" t="s">
        <v>6</v>
      </c>
      <c r="D1244" s="681" t="s">
        <v>251</v>
      </c>
      <c r="E1244" s="682"/>
      <c r="F1244" s="31"/>
      <c r="G1244" s="87"/>
      <c r="H1244" s="24"/>
      <c r="I1244" s="24"/>
      <c r="J1244" s="24"/>
      <c r="K1244" s="24"/>
      <c r="L1244" s="24"/>
      <c r="M1244" s="24"/>
      <c r="N1244" s="25"/>
    </row>
    <row r="1245" spans="1:14" ht="15.95" customHeight="1" x14ac:dyDescent="0.25">
      <c r="A1245" s="121"/>
      <c r="B1245" s="23"/>
      <c r="C1245" s="59" t="s">
        <v>8</v>
      </c>
      <c r="D1245" s="681" t="s">
        <v>17</v>
      </c>
      <c r="E1245" s="682"/>
      <c r="F1245" s="31"/>
      <c r="G1245" s="87"/>
      <c r="H1245" s="651" t="s">
        <v>41</v>
      </c>
      <c r="I1245" s="652"/>
      <c r="J1245" s="652"/>
      <c r="K1245" s="652"/>
      <c r="L1245" s="653"/>
      <c r="M1245" s="24"/>
      <c r="N1245" s="25"/>
    </row>
    <row r="1246" spans="1:14" ht="15.95" customHeight="1" x14ac:dyDescent="0.25">
      <c r="A1246" s="121"/>
      <c r="B1246" s="23"/>
      <c r="C1246" s="59" t="s">
        <v>33</v>
      </c>
      <c r="D1246" s="132" t="s">
        <v>309</v>
      </c>
      <c r="E1246" s="274">
        <v>1</v>
      </c>
      <c r="F1246" s="281">
        <f>+E1246*J1241</f>
        <v>0</v>
      </c>
      <c r="G1246" s="87"/>
      <c r="H1246" s="126" t="s">
        <v>0</v>
      </c>
      <c r="I1246" s="127" t="s">
        <v>2</v>
      </c>
      <c r="J1246" s="127" t="s">
        <v>3</v>
      </c>
      <c r="K1246" s="127" t="s">
        <v>4</v>
      </c>
      <c r="L1246" s="128" t="s">
        <v>5</v>
      </c>
      <c r="M1246" s="127" t="s">
        <v>44</v>
      </c>
      <c r="N1246" s="25"/>
    </row>
    <row r="1247" spans="1:14" ht="15.95" customHeight="1" x14ac:dyDescent="0.25">
      <c r="A1247" s="121"/>
      <c r="B1247" s="23"/>
      <c r="C1247" s="59" t="s">
        <v>34</v>
      </c>
      <c r="D1247" s="681" t="s">
        <v>35</v>
      </c>
      <c r="E1247" s="682"/>
      <c r="F1247" s="31"/>
      <c r="G1247" s="87"/>
      <c r="H1247" s="45"/>
      <c r="I1247" s="46"/>
      <c r="J1247" s="46"/>
      <c r="K1247" s="46"/>
      <c r="L1247" s="47"/>
      <c r="M1247" s="23"/>
      <c r="N1247" s="25"/>
    </row>
    <row r="1248" spans="1:14" ht="15.95" customHeight="1" x14ac:dyDescent="0.25">
      <c r="A1248" s="121"/>
      <c r="B1248" s="23"/>
      <c r="C1248" s="79" t="s">
        <v>38</v>
      </c>
      <c r="D1248" s="130"/>
      <c r="E1248" s="131"/>
      <c r="F1248" s="31"/>
      <c r="G1248" s="87"/>
      <c r="H1248" s="48">
        <f>+$D$1259</f>
        <v>43276</v>
      </c>
      <c r="I1248" s="136"/>
      <c r="J1248" s="49"/>
      <c r="K1248" s="49"/>
      <c r="L1248" s="50">
        <f>+D1261</f>
        <v>500000</v>
      </c>
      <c r="M1248" s="93">
        <f>-L1248</f>
        <v>-500000</v>
      </c>
      <c r="N1248" s="25"/>
    </row>
    <row r="1249" spans="1:15" ht="15.95" customHeight="1" x14ac:dyDescent="0.25">
      <c r="A1249" s="121"/>
      <c r="B1249" s="23"/>
      <c r="C1249" s="59"/>
      <c r="D1249" s="132"/>
      <c r="E1249" s="133"/>
      <c r="F1249" s="31"/>
      <c r="G1249" s="87"/>
      <c r="H1249" s="51">
        <f>IF(DAY(H1248)=DAY($H$1248),IF(WEEKDAY(EDATE(H1248,$D$1262),3)&lt;5,EDATE(H1248,$D$1262),WORKDAY(EDATE(H1248,$D$1262),1)),IF(WEEKDAY(EDATE($H$1248,$D$1262*COUNT($H$1248:H1248)),3)&lt;5,EDATE($H$1248,$D$1262*COUNT($H$1248:H1248)),WORKDAY(EDATE($H$1248,$D$1262*COUNT($H$1248:H1248)),1)))</f>
        <v>43459</v>
      </c>
      <c r="I1249" s="137" t="s">
        <v>13</v>
      </c>
      <c r="J1249" s="52">
        <f>+(($D$1264/365)*(H1249-H1248))*L1248</f>
        <v>18174.657534246573</v>
      </c>
      <c r="K1249" s="52">
        <f>+IF(OR(I1249="A + C",I1249="A"),$L$1248*$D$1265,0)</f>
        <v>125000</v>
      </c>
      <c r="L1249" s="53">
        <f>+L1248-K1249</f>
        <v>375000</v>
      </c>
      <c r="M1249" s="94">
        <f>+J1249+K1249</f>
        <v>143174.65753424657</v>
      </c>
      <c r="N1249" s="25"/>
    </row>
    <row r="1250" spans="1:15" ht="15.95" customHeight="1" x14ac:dyDescent="0.25">
      <c r="A1250" s="121"/>
      <c r="B1250" s="23"/>
      <c r="C1250" s="60"/>
      <c r="D1250" s="134"/>
      <c r="E1250" s="135"/>
      <c r="F1250" s="34"/>
      <c r="G1250" s="88"/>
      <c r="H1250" s="51">
        <f>IF(DAY(H1249)=DAY($H$1248),IF(WEEKDAY(EDATE(H1249,$D$1262),3)&lt;5,EDATE(H1249,$D$1262),WORKDAY(EDATE(H1249,$D$1262),1)),IF(WEEKDAY(EDATE($H$1248,$D$1262*COUNT($H$1248:H1249)),3)&lt;5,EDATE($H$1248,$D$1262*COUNT($H$1248:H1249)),WORKDAY(EDATE($H$1248,$D$1262*COUNT($H$1248:H1249)),1)))</f>
        <v>43641</v>
      </c>
      <c r="I1250" s="137" t="s">
        <v>13</v>
      </c>
      <c r="J1250" s="52">
        <f>+(($D$1264/365)*(H1250-H1249))*L1249</f>
        <v>13556.506849315067</v>
      </c>
      <c r="K1250" s="52">
        <f>+IF(OR(I1250="A + C",I1250="A"),$L$1248*$D$1265,0)</f>
        <v>125000</v>
      </c>
      <c r="L1250" s="53">
        <f>+L1249-K1250</f>
        <v>250000</v>
      </c>
      <c r="M1250" s="94">
        <f>+J1250+K1250</f>
        <v>138556.50684931508</v>
      </c>
      <c r="N1250" s="25"/>
    </row>
    <row r="1251" spans="1:15" ht="15.95" customHeight="1" x14ac:dyDescent="0.25">
      <c r="A1251" s="121"/>
      <c r="B1251" s="23"/>
      <c r="C1251" s="60"/>
      <c r="D1251" s="55" t="str">
        <f>B1239</f>
        <v>Lipsa II</v>
      </c>
      <c r="E1251" s="64"/>
      <c r="F1251" s="34"/>
      <c r="G1251" s="88">
        <f>J1241</f>
        <v>0</v>
      </c>
      <c r="H1251" s="51">
        <f>IF(DAY(H1250)=DAY($H$1248),IF(WEEKDAY(EDATE(H1250,$D$1262),3)&lt;5,EDATE(H1250,$D$1262),WORKDAY(EDATE(H1250,$D$1262),1)),IF(WEEKDAY(EDATE($H$1248,$D$1262*COUNT($H$1248:H1250)),3)&lt;5,EDATE($H$1248,$D$1262*COUNT($H$1248:H1250)),WORKDAY(EDATE($H$1248,$D$1262*COUNT($H$1248:H1250)),1)))</f>
        <v>43824</v>
      </c>
      <c r="I1251" s="137" t="s">
        <v>13</v>
      </c>
      <c r="J1251" s="52">
        <f>+(($D$1264/365)*(H1251-H1250))*L1250</f>
        <v>9087.3287671232865</v>
      </c>
      <c r="K1251" s="52">
        <f>+IF(OR(I1251="A + C",I1251="A"),$L$1248*$D$1265,0)</f>
        <v>125000</v>
      </c>
      <c r="L1251" s="53">
        <f>+L1250-K1251</f>
        <v>125000</v>
      </c>
      <c r="M1251" s="94">
        <f>+J1251+K1251</f>
        <v>134087.32876712328</v>
      </c>
      <c r="N1251" s="25"/>
    </row>
    <row r="1252" spans="1:15" ht="15.95" customHeight="1" x14ac:dyDescent="0.25">
      <c r="A1252" s="121"/>
      <c r="B1252" s="32"/>
      <c r="D1252" s="644"/>
      <c r="E1252" s="660"/>
      <c r="F1252" s="34"/>
      <c r="G1252" s="88"/>
      <c r="H1252" s="51">
        <f>IF(DAY(H1251)=DAY($H$1248),IF(WEEKDAY(EDATE(H1251,$D$1262),3)&lt;5,EDATE(H1251,$D$1262),WORKDAY(EDATE(H1251,$D$1262),1)),IF(WEEKDAY(EDATE($H$1248,$D$1262*COUNT($H$1248:H1251)),3)&lt;5,EDATE($H$1248,$D$1262*COUNT($H$1248:H1251)),WORKDAY(EDATE($H$1248,$D$1262*COUNT($H$1248:H1251)),1)))</f>
        <v>44007</v>
      </c>
      <c r="I1252" s="137" t="s">
        <v>13</v>
      </c>
      <c r="J1252" s="52">
        <f>+(($D$1264/365)*(H1252-H1251))*L1251</f>
        <v>4543.6643835616433</v>
      </c>
      <c r="K1252" s="52">
        <f>+IF(OR(I1252="A + C",I1252="A"),$L$1248*$D$1265,0)</f>
        <v>125000</v>
      </c>
      <c r="L1252" s="53">
        <f>+L1251-K1252</f>
        <v>0</v>
      </c>
      <c r="M1252" s="94">
        <f>+J1252+K1252</f>
        <v>129543.66438356164</v>
      </c>
      <c r="N1252" s="25"/>
    </row>
    <row r="1253" spans="1:15" ht="20.100000000000001" customHeight="1" x14ac:dyDescent="0.25">
      <c r="A1253" s="121"/>
      <c r="B1253" s="23"/>
      <c r="C1253" s="638" t="s">
        <v>36</v>
      </c>
      <c r="D1253" s="640"/>
      <c r="E1253" s="36"/>
      <c r="F1253" s="34"/>
      <c r="G1253" s="89"/>
      <c r="H1253" s="54"/>
      <c r="I1253" s="144"/>
      <c r="J1253" s="55"/>
      <c r="K1253" s="56"/>
      <c r="L1253" s="57"/>
      <c r="M1253" s="95"/>
      <c r="N1253" s="25"/>
    </row>
    <row r="1254" spans="1:15" ht="15.95" customHeight="1" x14ac:dyDescent="0.25">
      <c r="A1254" s="121"/>
      <c r="B1254" s="23"/>
      <c r="C1254" s="59"/>
      <c r="D1254" s="62"/>
      <c r="E1254" s="36"/>
      <c r="F1254" s="36"/>
      <c r="G1254" s="89"/>
      <c r="H1254" s="24"/>
      <c r="I1254" s="24"/>
      <c r="J1254" s="24"/>
      <c r="K1254" s="24"/>
      <c r="L1254" s="24"/>
      <c r="M1254" s="24"/>
      <c r="N1254" s="25"/>
    </row>
    <row r="1255" spans="1:15" ht="15.95" customHeight="1" x14ac:dyDescent="0.25">
      <c r="A1255" s="121"/>
      <c r="B1255" s="23"/>
      <c r="C1255" s="59" t="s">
        <v>9</v>
      </c>
      <c r="D1255" s="129" t="s">
        <v>49</v>
      </c>
      <c r="E1255" s="36"/>
      <c r="F1255" s="36"/>
      <c r="G1255" s="89"/>
      <c r="H1255" s="680" t="s">
        <v>43</v>
      </c>
      <c r="I1255" s="680"/>
      <c r="J1255" s="92">
        <v>0</v>
      </c>
      <c r="K1255" s="92"/>
      <c r="L1255" s="24"/>
      <c r="M1255" s="24"/>
      <c r="N1255" s="25"/>
      <c r="O1255" s="194" t="str">
        <f>+D1406</f>
        <v>ON Pyme CNV Garantizada</v>
      </c>
    </row>
    <row r="1256" spans="1:15" ht="15.95" customHeight="1" x14ac:dyDescent="0.25">
      <c r="A1256" s="121"/>
      <c r="B1256" s="23"/>
      <c r="C1256" s="59" t="s">
        <v>51</v>
      </c>
      <c r="D1256" s="138" t="s">
        <v>18</v>
      </c>
      <c r="E1256" s="36"/>
      <c r="F1256" s="36"/>
      <c r="G1256" s="89"/>
      <c r="H1256" s="657"/>
      <c r="I1256" s="657"/>
      <c r="J1256" s="392"/>
      <c r="K1256" s="24"/>
      <c r="L1256" s="33"/>
      <c r="M1256" s="33"/>
      <c r="N1256" s="25"/>
    </row>
    <row r="1257" spans="1:15" ht="15.95" customHeight="1" x14ac:dyDescent="0.25">
      <c r="A1257" s="121"/>
      <c r="B1257" s="23"/>
      <c r="C1257" s="59" t="s">
        <v>52</v>
      </c>
      <c r="D1257" s="138" t="s">
        <v>18</v>
      </c>
      <c r="E1257" s="36"/>
      <c r="F1257" s="36"/>
      <c r="G1257" s="90"/>
      <c r="H1257" s="24"/>
      <c r="I1257" s="24"/>
      <c r="J1257" s="24"/>
      <c r="K1257" s="24"/>
      <c r="L1257" s="24"/>
      <c r="M1257" s="24"/>
      <c r="N1257" s="25"/>
      <c r="O1257" s="194" t="str">
        <f>+IF(J1404="vencida",IF(D1406='Reporte - Oscuro'!$C$40,'Reporte - Oscuro'!$C$40&amp;" vencida",IF(D1406='Reporte - Oscuro'!$C$41,'Reporte - Oscuro'!$C$41&amp;" vencida",IF(D1406='Reporte - Oscuro'!$C$42,'Reporte - Oscuro'!$C$42&amp;" vencida",'Reporte - Oscuro'!$C$43&amp;" vencida"))),D1406&amp;" vigente")</f>
        <v>ON Pyme CNV Garantizada vencida</v>
      </c>
    </row>
    <row r="1258" spans="1:15" ht="15.95" customHeight="1" x14ac:dyDescent="0.25">
      <c r="A1258" s="121"/>
      <c r="B1258" s="23"/>
      <c r="C1258" s="59" t="s">
        <v>10</v>
      </c>
      <c r="D1258" s="139">
        <v>43265</v>
      </c>
      <c r="E1258" s="36"/>
      <c r="F1258" s="36"/>
      <c r="G1258" s="90"/>
      <c r="H1258" s="638" t="s">
        <v>44</v>
      </c>
      <c r="I1258" s="639"/>
      <c r="J1258" s="639"/>
      <c r="K1258" s="639"/>
      <c r="L1258" s="639"/>
      <c r="M1258" s="640"/>
      <c r="N1258" s="25"/>
    </row>
    <row r="1259" spans="1:15" ht="15.95" customHeight="1" x14ac:dyDescent="0.25">
      <c r="A1259" s="121"/>
      <c r="B1259" s="23"/>
      <c r="C1259" s="59" t="s">
        <v>11</v>
      </c>
      <c r="D1259" s="139">
        <v>43276</v>
      </c>
      <c r="E1259" s="41"/>
      <c r="F1259" s="24"/>
      <c r="G1259" s="90"/>
      <c r="H1259" s="23"/>
      <c r="I1259" s="24"/>
      <c r="J1259" s="24"/>
      <c r="K1259" s="24"/>
      <c r="L1259" s="24"/>
      <c r="M1259" s="25"/>
      <c r="N1259" s="25"/>
    </row>
    <row r="1260" spans="1:15" ht="15.95" customHeight="1" x14ac:dyDescent="0.25">
      <c r="A1260" s="121"/>
      <c r="B1260" s="23"/>
      <c r="C1260" s="59" t="s">
        <v>12</v>
      </c>
      <c r="D1260" s="139">
        <v>44007</v>
      </c>
      <c r="E1260" s="36"/>
      <c r="F1260" s="24"/>
      <c r="G1260" s="90"/>
      <c r="H1260" s="23"/>
      <c r="I1260" s="24"/>
      <c r="J1260" s="24"/>
      <c r="K1260" s="24"/>
      <c r="L1260" s="24"/>
      <c r="M1260" s="25"/>
      <c r="N1260" s="25"/>
    </row>
    <row r="1261" spans="1:15" ht="15.95" customHeight="1" x14ac:dyDescent="0.25">
      <c r="A1261" s="121"/>
      <c r="B1261" s="23"/>
      <c r="C1261" s="59" t="s">
        <v>27</v>
      </c>
      <c r="D1261" s="140">
        <v>500000</v>
      </c>
      <c r="E1261" s="43"/>
      <c r="F1261" s="24"/>
      <c r="G1261" s="90"/>
      <c r="H1261" s="96"/>
      <c r="I1261" s="35"/>
      <c r="J1261" s="24"/>
      <c r="K1261" s="24"/>
      <c r="L1261" s="24"/>
      <c r="M1261" s="25"/>
      <c r="N1261" s="25"/>
    </row>
    <row r="1262" spans="1:15" ht="15.95" customHeight="1" x14ac:dyDescent="0.25">
      <c r="A1262" s="121"/>
      <c r="B1262" s="23"/>
      <c r="C1262" s="59" t="s">
        <v>26</v>
      </c>
      <c r="D1262" s="140">
        <v>6</v>
      </c>
      <c r="E1262" s="43"/>
      <c r="F1262" s="24"/>
      <c r="G1262" s="90"/>
      <c r="H1262" s="23"/>
      <c r="I1262" s="24"/>
      <c r="J1262" s="24"/>
      <c r="K1262" s="24"/>
      <c r="L1262" s="24"/>
      <c r="M1262" s="25"/>
      <c r="N1262" s="25"/>
      <c r="O1262" s="97">
        <f>+M1409</f>
        <v>-200000</v>
      </c>
    </row>
    <row r="1263" spans="1:15" ht="15.95" customHeight="1" x14ac:dyDescent="0.25">
      <c r="A1263" s="121"/>
      <c r="B1263" s="23"/>
      <c r="C1263" s="59" t="s">
        <v>19</v>
      </c>
      <c r="D1263" s="141" t="s">
        <v>50</v>
      </c>
      <c r="E1263" s="43"/>
      <c r="F1263" s="24"/>
      <c r="G1263" s="90"/>
      <c r="H1263" s="23"/>
      <c r="I1263" s="24"/>
      <c r="J1263" s="24"/>
      <c r="K1263" s="24"/>
      <c r="L1263" s="24"/>
      <c r="M1263" s="25"/>
      <c r="N1263" s="25"/>
      <c r="O1263" s="97">
        <f t="shared" ref="O1263:O1274" si="114">+M1410+O1262</f>
        <v>-178620.45662100456</v>
      </c>
    </row>
    <row r="1264" spans="1:15" ht="15.95" customHeight="1" x14ac:dyDescent="0.25">
      <c r="A1264" s="121"/>
      <c r="B1264" s="23"/>
      <c r="C1264" s="59" t="s">
        <v>14</v>
      </c>
      <c r="D1264" s="142">
        <v>7.2499999999999995E-2</v>
      </c>
      <c r="E1264" s="44"/>
      <c r="F1264" s="24"/>
      <c r="G1264" s="90"/>
      <c r="H1264" s="23"/>
      <c r="I1264" s="24"/>
      <c r="J1264" s="24"/>
      <c r="K1264" s="24"/>
      <c r="L1264" s="24"/>
      <c r="M1264" s="25"/>
      <c r="N1264" s="25"/>
      <c r="O1264" s="97">
        <f t="shared" si="114"/>
        <v>-157771.52968036529</v>
      </c>
    </row>
    <row r="1265" spans="1:16" ht="15.95" customHeight="1" x14ac:dyDescent="0.25">
      <c r="A1265" s="121"/>
      <c r="B1265" s="23"/>
      <c r="C1265" s="59" t="s">
        <v>249</v>
      </c>
      <c r="D1265" s="142">
        <v>0.25</v>
      </c>
      <c r="E1265" s="24"/>
      <c r="F1265" s="24"/>
      <c r="G1265" s="90"/>
      <c r="H1265" s="23"/>
      <c r="I1265" s="24"/>
      <c r="J1265" s="24"/>
      <c r="K1265" s="24"/>
      <c r="L1265" s="24"/>
      <c r="M1265" s="25"/>
      <c r="N1265" s="25"/>
      <c r="O1265" s="97">
        <f t="shared" si="114"/>
        <v>-137302.80821917808</v>
      </c>
    </row>
    <row r="1266" spans="1:16" ht="15.95" customHeight="1" x14ac:dyDescent="0.25">
      <c r="A1266" s="121"/>
      <c r="B1266" s="23"/>
      <c r="C1266" s="63"/>
      <c r="D1266" s="145"/>
      <c r="E1266" s="24"/>
      <c r="F1266" s="24"/>
      <c r="G1266" s="90"/>
      <c r="H1266" s="23"/>
      <c r="I1266" s="24"/>
      <c r="J1266" s="24"/>
      <c r="K1266" s="24"/>
      <c r="L1266" s="24"/>
      <c r="M1266" s="25"/>
      <c r="N1266" s="25"/>
      <c r="O1266" s="97">
        <f t="shared" si="114"/>
        <v>-117214.29223744292</v>
      </c>
    </row>
    <row r="1267" spans="1:16" ht="15.95" customHeight="1" x14ac:dyDescent="0.25">
      <c r="A1267" s="121"/>
      <c r="B1267" s="23"/>
      <c r="C1267" s="24"/>
      <c r="D1267" s="24"/>
      <c r="E1267" s="24"/>
      <c r="F1267" s="24"/>
      <c r="G1267" s="90"/>
      <c r="H1267" s="23"/>
      <c r="I1267" s="24"/>
      <c r="J1267" s="24"/>
      <c r="K1267" s="24"/>
      <c r="L1267" s="24"/>
      <c r="M1267" s="25"/>
      <c r="N1267" s="25"/>
      <c r="O1267" s="97">
        <f t="shared" si="114"/>
        <v>-97505.981735159818</v>
      </c>
      <c r="P1267" s="29"/>
    </row>
    <row r="1268" spans="1:16" ht="15.95" customHeight="1" x14ac:dyDescent="0.25">
      <c r="A1268" s="121"/>
      <c r="B1268" s="23"/>
      <c r="C1268" s="24"/>
      <c r="D1268" s="24"/>
      <c r="E1268" s="24"/>
      <c r="F1268" s="24"/>
      <c r="G1268" s="90"/>
      <c r="H1268" s="23"/>
      <c r="I1268" s="24"/>
      <c r="J1268" s="24"/>
      <c r="K1268" s="24"/>
      <c r="L1268" s="24"/>
      <c r="M1268" s="25"/>
      <c r="N1268" s="25"/>
      <c r="O1268" s="97">
        <f t="shared" si="114"/>
        <v>-78177.876712328769</v>
      </c>
      <c r="P1268" s="29"/>
    </row>
    <row r="1269" spans="1:16" ht="15.95" customHeight="1" x14ac:dyDescent="0.25">
      <c r="A1269" s="121"/>
      <c r="B1269" s="23"/>
      <c r="C1269" s="24"/>
      <c r="D1269" s="24"/>
      <c r="E1269" s="24"/>
      <c r="F1269" s="24"/>
      <c r="G1269" s="90"/>
      <c r="H1269" s="23"/>
      <c r="I1269" s="24"/>
      <c r="J1269" s="24"/>
      <c r="K1269" s="24"/>
      <c r="L1269" s="24"/>
      <c r="M1269" s="25"/>
      <c r="N1269" s="25"/>
      <c r="O1269" s="97">
        <f t="shared" si="114"/>
        <v>-59229.977168949772</v>
      </c>
    </row>
    <row r="1270" spans="1:16" ht="15.95" customHeight="1" x14ac:dyDescent="0.25">
      <c r="A1270" s="121"/>
      <c r="B1270" s="23"/>
      <c r="C1270" s="24"/>
      <c r="D1270" s="24"/>
      <c r="E1270" s="24"/>
      <c r="F1270" s="24"/>
      <c r="G1270" s="90"/>
      <c r="H1270" s="26"/>
      <c r="I1270" s="27"/>
      <c r="J1270" s="27"/>
      <c r="K1270" s="27"/>
      <c r="L1270" s="27"/>
      <c r="M1270" s="28"/>
      <c r="N1270" s="25"/>
      <c r="O1270" s="97">
        <f t="shared" si="114"/>
        <v>-40662.283105022827</v>
      </c>
      <c r="P1270" s="29"/>
    </row>
    <row r="1271" spans="1:16" ht="15.95" customHeight="1" x14ac:dyDescent="0.25">
      <c r="A1271" s="121"/>
      <c r="B1271" s="26"/>
      <c r="C1271" s="85"/>
      <c r="D1271" s="27"/>
      <c r="E1271" s="27"/>
      <c r="F1271" s="27"/>
      <c r="G1271" s="91"/>
      <c r="H1271" s="27"/>
      <c r="I1271" s="27"/>
      <c r="J1271" s="27"/>
      <c r="K1271" s="27"/>
      <c r="L1271" s="27"/>
      <c r="M1271" s="27"/>
      <c r="N1271" s="28"/>
      <c r="O1271" s="97">
        <f t="shared" si="114"/>
        <v>-22458.082191780817</v>
      </c>
      <c r="P1271" s="29"/>
    </row>
    <row r="1272" spans="1:16" ht="15.95" customHeight="1" x14ac:dyDescent="0.25">
      <c r="A1272" s="121"/>
      <c r="B1272" s="23"/>
      <c r="C1272" s="24"/>
      <c r="D1272" s="24"/>
      <c r="E1272" s="24"/>
      <c r="F1272" s="24"/>
      <c r="G1272" s="24"/>
      <c r="H1272" s="24"/>
      <c r="I1272" s="24"/>
      <c r="J1272" s="24"/>
      <c r="K1272" s="24"/>
      <c r="L1272" s="24"/>
      <c r="M1272" s="24"/>
      <c r="N1272" s="25"/>
      <c r="O1272" s="97">
        <f t="shared" si="114"/>
        <v>-4638.2648401826409</v>
      </c>
    </row>
    <row r="1273" spans="1:16" ht="15.95" customHeight="1" x14ac:dyDescent="0.25">
      <c r="A1273" s="121"/>
      <c r="B1273" s="23"/>
      <c r="C1273" s="24"/>
      <c r="D1273" s="24"/>
      <c r="E1273" s="24"/>
      <c r="F1273" s="24"/>
      <c r="G1273" s="24"/>
      <c r="H1273" s="24"/>
      <c r="I1273" s="24"/>
      <c r="J1273" s="24"/>
      <c r="K1273" s="24"/>
      <c r="L1273" s="24"/>
      <c r="M1273" s="24"/>
      <c r="N1273" s="25"/>
      <c r="O1273" s="97">
        <f t="shared" si="114"/>
        <v>12780.456621004574</v>
      </c>
    </row>
    <row r="1274" spans="1:16" ht="15.95" customHeight="1" x14ac:dyDescent="0.25">
      <c r="A1274" s="122" t="s">
        <v>128</v>
      </c>
      <c r="B1274" s="683" t="s">
        <v>200</v>
      </c>
      <c r="C1274" s="684"/>
      <c r="D1274" s="684"/>
      <c r="E1274" s="684"/>
      <c r="F1274" s="684"/>
      <c r="G1274" s="684"/>
      <c r="H1274" s="684"/>
      <c r="I1274" s="684"/>
      <c r="J1274" s="684"/>
      <c r="K1274" s="684"/>
      <c r="L1274" s="684"/>
      <c r="M1274" s="684"/>
      <c r="N1274" s="685"/>
      <c r="O1274" s="97">
        <f t="shared" si="114"/>
        <v>29827.328767123297</v>
      </c>
    </row>
    <row r="1275" spans="1:16" ht="15.95" customHeight="1" x14ac:dyDescent="0.25">
      <c r="A1275" s="121"/>
      <c r="B1275" s="23"/>
      <c r="C1275" s="24"/>
      <c r="D1275" s="24"/>
      <c r="E1275" s="24"/>
      <c r="F1275" s="31"/>
      <c r="G1275" s="87"/>
      <c r="H1275" s="31"/>
      <c r="I1275" s="31"/>
      <c r="J1275" s="24"/>
      <c r="K1275" s="24"/>
      <c r="L1275" s="24"/>
      <c r="M1275" s="24"/>
      <c r="N1275" s="25"/>
    </row>
    <row r="1276" spans="1:16" ht="15.95" customHeight="1" x14ac:dyDescent="0.25">
      <c r="A1276" s="121"/>
      <c r="B1276" s="23"/>
      <c r="C1276" s="638" t="s">
        <v>37</v>
      </c>
      <c r="D1276" s="639"/>
      <c r="E1276" s="640"/>
      <c r="F1276" s="31"/>
      <c r="G1276" s="87"/>
      <c r="H1276" s="641" t="s">
        <v>28</v>
      </c>
      <c r="I1276" s="642"/>
      <c r="J1276" s="39">
        <f>+$D$1296-SUMIF($H$1282:$H$1296,"&lt;"&amp;$M$4,$K$1282:$K$1296)</f>
        <v>0</v>
      </c>
      <c r="K1276" s="24"/>
      <c r="L1276" s="24"/>
      <c r="M1276" s="24"/>
      <c r="N1276" s="25"/>
    </row>
    <row r="1277" spans="1:16" ht="15.95" customHeight="1" x14ac:dyDescent="0.25">
      <c r="A1277" s="121"/>
      <c r="B1277" s="23"/>
      <c r="C1277" s="58"/>
      <c r="D1277" s="664"/>
      <c r="E1277" s="665"/>
      <c r="F1277" s="31"/>
      <c r="G1277" s="87"/>
      <c r="H1277" s="645" t="s">
        <v>29</v>
      </c>
      <c r="I1277" s="646"/>
      <c r="J1277" s="40">
        <f>+$D$1295</f>
        <v>44655</v>
      </c>
      <c r="K1277" s="24"/>
      <c r="L1277" s="24"/>
      <c r="M1277" s="24"/>
      <c r="N1277" s="25"/>
    </row>
    <row r="1278" spans="1:16" ht="15.95" customHeight="1" x14ac:dyDescent="0.25">
      <c r="A1278" s="121"/>
      <c r="B1278" s="23"/>
      <c r="C1278" s="59" t="s">
        <v>25</v>
      </c>
      <c r="D1278" s="681"/>
      <c r="E1278" s="682"/>
      <c r="F1278" s="31"/>
      <c r="G1278" s="87"/>
      <c r="H1278" s="649" t="s">
        <v>30</v>
      </c>
      <c r="I1278" s="650"/>
      <c r="J1278" s="42" t="str">
        <f t="array" ref="J1278">+IF($H1295&gt;=$M$4,MIN(IF($H$1282:$H1296&gt;$M$4,$H$1282:$H1296,"")),"vencida")</f>
        <v>vencida</v>
      </c>
      <c r="K1278" s="24"/>
      <c r="L1278" s="24"/>
      <c r="M1278" s="24"/>
      <c r="N1278" s="25"/>
    </row>
    <row r="1279" spans="1:16" ht="15.95" customHeight="1" x14ac:dyDescent="0.25">
      <c r="A1279" s="121"/>
      <c r="B1279" s="23"/>
      <c r="C1279" s="59" t="s">
        <v>6</v>
      </c>
      <c r="D1279" s="681" t="s">
        <v>253</v>
      </c>
      <c r="E1279" s="682"/>
      <c r="F1279" s="31"/>
      <c r="G1279" s="87"/>
      <c r="H1279" s="24"/>
      <c r="I1279" s="24"/>
      <c r="J1279" s="24"/>
      <c r="K1279" s="24"/>
      <c r="L1279" s="24"/>
      <c r="M1279" s="24"/>
      <c r="N1279" s="25"/>
    </row>
    <row r="1280" spans="1:16" ht="15.95" customHeight="1" x14ac:dyDescent="0.25">
      <c r="A1280" s="121"/>
      <c r="B1280" s="23"/>
      <c r="C1280" s="59" t="s">
        <v>8</v>
      </c>
      <c r="D1280" s="681" t="s">
        <v>17</v>
      </c>
      <c r="E1280" s="682"/>
      <c r="F1280" s="31"/>
      <c r="G1280" s="87"/>
      <c r="H1280" s="651" t="s">
        <v>41</v>
      </c>
      <c r="I1280" s="652"/>
      <c r="J1280" s="652"/>
      <c r="K1280" s="652"/>
      <c r="L1280" s="653"/>
      <c r="M1280" s="24"/>
      <c r="N1280" s="25"/>
    </row>
    <row r="1281" spans="1:14" ht="15.95" customHeight="1" x14ac:dyDescent="0.25">
      <c r="A1281" s="121"/>
      <c r="B1281" s="23"/>
      <c r="C1281" s="59" t="s">
        <v>33</v>
      </c>
      <c r="D1281" s="132" t="s">
        <v>309</v>
      </c>
      <c r="E1281" s="274">
        <v>1</v>
      </c>
      <c r="F1281" s="281">
        <f>+E1281*J1276</f>
        <v>0</v>
      </c>
      <c r="G1281" s="87"/>
      <c r="H1281" s="126" t="s">
        <v>0</v>
      </c>
      <c r="I1281" s="127" t="s">
        <v>2</v>
      </c>
      <c r="J1281" s="127" t="s">
        <v>3</v>
      </c>
      <c r="K1281" s="127" t="s">
        <v>4</v>
      </c>
      <c r="L1281" s="128" t="s">
        <v>5</v>
      </c>
      <c r="M1281" s="127" t="s">
        <v>44</v>
      </c>
      <c r="N1281" s="25"/>
    </row>
    <row r="1282" spans="1:14" ht="15.95" customHeight="1" x14ac:dyDescent="0.25">
      <c r="A1282" s="121"/>
      <c r="B1282" s="23"/>
      <c r="C1282" s="59" t="s">
        <v>34</v>
      </c>
      <c r="D1282" s="681" t="s">
        <v>48</v>
      </c>
      <c r="E1282" s="682"/>
      <c r="F1282" s="31"/>
      <c r="G1282" s="87"/>
      <c r="H1282" s="45"/>
      <c r="I1282" s="46"/>
      <c r="J1282" s="46"/>
      <c r="K1282" s="46"/>
      <c r="L1282" s="47"/>
      <c r="M1282" s="23"/>
      <c r="N1282" s="25"/>
    </row>
    <row r="1283" spans="1:14" ht="15.95" customHeight="1" x14ac:dyDescent="0.25">
      <c r="A1283" s="121"/>
      <c r="B1283" s="23"/>
      <c r="C1283" s="79" t="s">
        <v>38</v>
      </c>
      <c r="D1283" s="130"/>
      <c r="E1283" s="131"/>
      <c r="F1283" s="31"/>
      <c r="G1283" s="87"/>
      <c r="H1283" s="48">
        <f>+$D$1294</f>
        <v>43559</v>
      </c>
      <c r="I1283" s="136"/>
      <c r="J1283" s="49"/>
      <c r="K1283" s="49"/>
      <c r="L1283" s="50">
        <f>+D1296</f>
        <v>150000</v>
      </c>
      <c r="M1283" s="93">
        <f>-L1283</f>
        <v>-150000</v>
      </c>
      <c r="N1283" s="25"/>
    </row>
    <row r="1284" spans="1:14" ht="15.95" customHeight="1" x14ac:dyDescent="0.25">
      <c r="A1284" s="121"/>
      <c r="B1284" s="23"/>
      <c r="C1284" s="59"/>
      <c r="D1284" s="132"/>
      <c r="E1284" s="133"/>
      <c r="F1284" s="31"/>
      <c r="G1284" s="87"/>
      <c r="H1284" s="51">
        <f>IF(DAY(H1283)=DAY($H$1283),IF(WEEKDAY(EDATE(H1283,$D$1297),3)&lt;5,EDATE(H1283,$D$1297),WORKDAY(EDATE(H1283,$D$1297),1)),IF(WEEKDAY(EDATE($H$1283,$D$1297*COUNT($H$1283:H1283)),3)&lt;5,EDATE($H$1283,$D$1297*COUNT($H$1283:H1283)),WORKDAY(EDATE($H$1283,$D$1297*COUNT($H$1283:H1283)),1)))</f>
        <v>43650</v>
      </c>
      <c r="I1284" s="137" t="s">
        <v>13</v>
      </c>
      <c r="J1284" s="52">
        <f t="shared" ref="J1284:J1295" si="115">+(($D$1299/365)*(H1284-H1283))*L1283</f>
        <v>3328.3561643835615</v>
      </c>
      <c r="K1284" s="52">
        <f>+IF(OR(I1284="A + C",I1284="A"),$L$1283*$D$1300,0)</f>
        <v>12495</v>
      </c>
      <c r="L1284" s="53">
        <f t="shared" ref="L1284:L1295" si="116">+L1283-K1284</f>
        <v>137505</v>
      </c>
      <c r="M1284" s="94">
        <f t="shared" ref="M1284:M1295" si="117">+J1284+K1284</f>
        <v>15823.356164383562</v>
      </c>
      <c r="N1284" s="25"/>
    </row>
    <row r="1285" spans="1:14" ht="15.95" customHeight="1" x14ac:dyDescent="0.25">
      <c r="A1285" s="121"/>
      <c r="B1285" s="23"/>
      <c r="C1285" s="60"/>
      <c r="D1285" s="134"/>
      <c r="E1285" s="135"/>
      <c r="F1285" s="34"/>
      <c r="G1285" s="88"/>
      <c r="H1285" s="51">
        <f>IF(DAY(H1284)=DAY($H$1283),IF(WEEKDAY(EDATE(H1284,$D$1297),3)&lt;5,EDATE(H1284,$D$1297),WORKDAY(EDATE(H1284,$D$1297),1)),IF(WEEKDAY(EDATE($H$1283,$D$1297*COUNT($H$1283:H1284)),3)&lt;5,EDATE($H$1283,$D$1297*COUNT($H$1283:H1284)),WORKDAY(EDATE($H$1283,$D$1297*COUNT($H$1283:H1284)),1)))</f>
        <v>43742</v>
      </c>
      <c r="I1285" s="137" t="s">
        <v>13</v>
      </c>
      <c r="J1285" s="52">
        <f t="shared" si="115"/>
        <v>3084.632712328767</v>
      </c>
      <c r="K1285" s="52">
        <f t="shared" ref="K1285:K1291" si="118">+IF(OR(I1285="A + C",I1285="A"),$D$1296*$D$1300,0)</f>
        <v>12495</v>
      </c>
      <c r="L1285" s="53">
        <f t="shared" si="116"/>
        <v>125010</v>
      </c>
      <c r="M1285" s="94">
        <f t="shared" si="117"/>
        <v>15579.632712328767</v>
      </c>
      <c r="N1285" s="25"/>
    </row>
    <row r="1286" spans="1:14" ht="15.95" customHeight="1" x14ac:dyDescent="0.25">
      <c r="A1286" s="121"/>
      <c r="B1286" s="23"/>
      <c r="C1286" s="60"/>
      <c r="D1286" s="55" t="str">
        <f>B1274</f>
        <v>Marcos Schmukler I</v>
      </c>
      <c r="E1286" s="64"/>
      <c r="F1286" s="34"/>
      <c r="G1286" s="88">
        <f>J1276</f>
        <v>0</v>
      </c>
      <c r="H1286" s="51">
        <f>IF(DAY(H1285)=DAY($H$1283),IF(WEEKDAY(EDATE(H1285,$D$1297),3)&lt;5,EDATE(H1285,$D$1297),WORKDAY(EDATE(H1285,$D$1297),1)),IF(WEEKDAY(EDATE($H$1283,$D$1297*COUNT($H$1283:H1285)),3)&lt;5,EDATE($H$1283,$D$1297*COUNT($H$1283:H1285)),WORKDAY(EDATE($H$1283,$D$1297*COUNT($H$1283:H1285)),1)))</f>
        <v>43836</v>
      </c>
      <c r="I1286" s="137" t="s">
        <v>13</v>
      </c>
      <c r="J1286" s="52">
        <f t="shared" si="115"/>
        <v>2865.2976986301364</v>
      </c>
      <c r="K1286" s="52">
        <f t="shared" si="118"/>
        <v>12495</v>
      </c>
      <c r="L1286" s="53">
        <f t="shared" si="116"/>
        <v>112515</v>
      </c>
      <c r="M1286" s="94">
        <f t="shared" si="117"/>
        <v>15360.297698630136</v>
      </c>
      <c r="N1286" s="25"/>
    </row>
    <row r="1287" spans="1:14" ht="15.95" customHeight="1" x14ac:dyDescent="0.25">
      <c r="A1287" s="121"/>
      <c r="B1287" s="32"/>
      <c r="D1287" s="644"/>
      <c r="E1287" s="660"/>
      <c r="F1287" s="34"/>
      <c r="G1287" s="88"/>
      <c r="H1287" s="51">
        <f>IF(DAY(H1286)=DAY($H$1283),IF(WEEKDAY(EDATE(H1286,$D$1297),3)&lt;5,EDATE(H1286,$D$1297),WORKDAY(EDATE(H1286,$D$1297),1)),IF(WEEKDAY(EDATE($H$1283,$D$1297*COUNT($H$1283:H1286)),3)&lt;5,EDATE($H$1283,$D$1297*COUNT($H$1283:H1286)),WORKDAY(EDATE($H$1283,$D$1297*COUNT($H$1283:H1286)),1)))</f>
        <v>43927</v>
      </c>
      <c r="I1287" s="137" t="s">
        <v>13</v>
      </c>
      <c r="J1287" s="52">
        <f t="shared" si="115"/>
        <v>2496.5999589041094</v>
      </c>
      <c r="K1287" s="52">
        <f t="shared" si="118"/>
        <v>12495</v>
      </c>
      <c r="L1287" s="53">
        <f t="shared" si="116"/>
        <v>100020</v>
      </c>
      <c r="M1287" s="94">
        <f t="shared" si="117"/>
        <v>14991.599958904109</v>
      </c>
      <c r="N1287" s="25"/>
    </row>
    <row r="1288" spans="1:14" ht="15.95" customHeight="1" x14ac:dyDescent="0.25">
      <c r="A1288" s="121"/>
      <c r="B1288" s="23"/>
      <c r="C1288" s="638" t="s">
        <v>36</v>
      </c>
      <c r="D1288" s="640"/>
      <c r="E1288" s="36"/>
      <c r="F1288" s="34"/>
      <c r="G1288" s="88"/>
      <c r="H1288" s="51">
        <f>IF(DAY(H1287)=DAY($H$1283),IF(WEEKDAY(EDATE(H1287,$D$1297),3)&lt;5,EDATE(H1287,$D$1297),WORKDAY(EDATE(H1287,$D$1297),1)),IF(WEEKDAY(EDATE($H$1283,$D$1297*COUNT($H$1283:H1287)),3)&lt;5,EDATE($H$1283,$D$1297*COUNT($H$1283:H1287)),WORKDAY(EDATE($H$1283,$D$1297*COUNT($H$1283:H1287)),1)))</f>
        <v>44018</v>
      </c>
      <c r="I1288" s="137" t="s">
        <v>13</v>
      </c>
      <c r="J1288" s="52">
        <f t="shared" si="115"/>
        <v>2219.3478904109588</v>
      </c>
      <c r="K1288" s="52">
        <f t="shared" si="118"/>
        <v>12495</v>
      </c>
      <c r="L1288" s="53">
        <f t="shared" si="116"/>
        <v>87525</v>
      </c>
      <c r="M1288" s="94">
        <f t="shared" si="117"/>
        <v>14714.347890410958</v>
      </c>
      <c r="N1288" s="25"/>
    </row>
    <row r="1289" spans="1:14" ht="15.95" customHeight="1" x14ac:dyDescent="0.25">
      <c r="A1289" s="121"/>
      <c r="B1289" s="23"/>
      <c r="C1289" s="59"/>
      <c r="D1289" s="62"/>
      <c r="E1289" s="36"/>
      <c r="F1289" s="36"/>
      <c r="G1289" s="89"/>
      <c r="H1289" s="51">
        <f>IF(DAY(H1288)=DAY($H$1283),IF(WEEKDAY(EDATE(H1288,$D$1297),3)&lt;5,EDATE(H1288,$D$1297),WORKDAY(EDATE(H1288,$D$1297),1)),IF(WEEKDAY(EDATE($H$1283,$D$1297*COUNT($H$1283:H1288)),3)&lt;5,EDATE($H$1283,$D$1297*COUNT($H$1283:H1288)),WORKDAY(EDATE($H$1283,$D$1297*COUNT($H$1283:H1288)),1)))</f>
        <v>44109</v>
      </c>
      <c r="I1289" s="137" t="s">
        <v>13</v>
      </c>
      <c r="J1289" s="52">
        <f t="shared" si="115"/>
        <v>1942.0958219178081</v>
      </c>
      <c r="K1289" s="52">
        <f t="shared" si="118"/>
        <v>12495</v>
      </c>
      <c r="L1289" s="53">
        <f t="shared" si="116"/>
        <v>75030</v>
      </c>
      <c r="M1289" s="94">
        <f t="shared" si="117"/>
        <v>14437.095821917808</v>
      </c>
      <c r="N1289" s="25"/>
    </row>
    <row r="1290" spans="1:14" ht="15.95" customHeight="1" x14ac:dyDescent="0.25">
      <c r="A1290" s="121"/>
      <c r="B1290" s="23"/>
      <c r="C1290" s="59" t="s">
        <v>9</v>
      </c>
      <c r="D1290" s="129" t="s">
        <v>49</v>
      </c>
      <c r="E1290" s="36"/>
      <c r="F1290" s="36"/>
      <c r="G1290" s="89"/>
      <c r="H1290" s="51">
        <f>IF(DAY(H1289)=DAY($H$1283),IF(WEEKDAY(EDATE(H1289,$D$1297),3)&lt;5,EDATE(H1289,$D$1297),WORKDAY(EDATE(H1289,$D$1297),1)),IF(WEEKDAY(EDATE($H$1283,$D$1297*COUNT($H$1283:H1289)),3)&lt;5,EDATE($H$1283,$D$1297*COUNT($H$1283:H1289)),WORKDAY(EDATE($H$1283,$D$1297*COUNT($H$1283:H1289)),1)))</f>
        <v>44200</v>
      </c>
      <c r="I1290" s="137" t="s">
        <v>13</v>
      </c>
      <c r="J1290" s="52">
        <f t="shared" si="115"/>
        <v>1664.8437534246575</v>
      </c>
      <c r="K1290" s="52">
        <f t="shared" si="118"/>
        <v>12495</v>
      </c>
      <c r="L1290" s="53">
        <f t="shared" si="116"/>
        <v>62535</v>
      </c>
      <c r="M1290" s="94">
        <f t="shared" si="117"/>
        <v>14159.843753424657</v>
      </c>
      <c r="N1290" s="25"/>
    </row>
    <row r="1291" spans="1:14" ht="15.95" customHeight="1" x14ac:dyDescent="0.25">
      <c r="A1291" s="121"/>
      <c r="B1291" s="23"/>
      <c r="C1291" s="59" t="s">
        <v>51</v>
      </c>
      <c r="D1291" s="138" t="s">
        <v>18</v>
      </c>
      <c r="E1291" s="36"/>
      <c r="F1291" s="36"/>
      <c r="G1291" s="89"/>
      <c r="H1291" s="51">
        <f>IF(DAY(H1290)=DAY($H$1283),IF(WEEKDAY(EDATE(H1290,$D$1297),3)&lt;5,EDATE(H1290,$D$1297),WORKDAY(EDATE(H1290,$D$1297),1)),IF(WEEKDAY(EDATE($H$1283,$D$1297*COUNT($H$1283:H1290)),3)&lt;5,EDATE($H$1283,$D$1297*COUNT($H$1283:H1290)),WORKDAY(EDATE($H$1283,$D$1297*COUNT($H$1283:H1290)),1)))</f>
        <v>44291</v>
      </c>
      <c r="I1291" s="137" t="s">
        <v>13</v>
      </c>
      <c r="J1291" s="52">
        <f t="shared" si="115"/>
        <v>1387.5916849315067</v>
      </c>
      <c r="K1291" s="52">
        <f t="shared" si="118"/>
        <v>12495</v>
      </c>
      <c r="L1291" s="53">
        <f t="shared" si="116"/>
        <v>50040</v>
      </c>
      <c r="M1291" s="94">
        <f t="shared" si="117"/>
        <v>13882.591684931507</v>
      </c>
      <c r="N1291" s="25"/>
    </row>
    <row r="1292" spans="1:14" ht="15.95" customHeight="1" x14ac:dyDescent="0.25">
      <c r="A1292" s="121"/>
      <c r="B1292" s="23"/>
      <c r="C1292" s="59" t="s">
        <v>52</v>
      </c>
      <c r="D1292" s="138" t="s">
        <v>18</v>
      </c>
      <c r="E1292" s="36"/>
      <c r="F1292" s="36"/>
      <c r="G1292" s="89"/>
      <c r="H1292" s="51">
        <f>IF(DAY(H1291)=DAY($H$1283),IF(WEEKDAY(EDATE(H1291,$D$1297),3)&lt;5,EDATE(H1291,$D$1297),WORKDAY(EDATE(H1291,$D$1297),1)),IF(WEEKDAY(EDATE($H$1283,$D$1297*COUNT($H$1283:H1291)),3)&lt;5,EDATE($H$1283,$D$1297*COUNT($H$1283:H1291)),WORKDAY(EDATE($H$1283,$D$1297*COUNT($H$1283:H1291)),1)))</f>
        <v>44382</v>
      </c>
      <c r="I1292" s="137" t="s">
        <v>13</v>
      </c>
      <c r="J1292" s="52">
        <f t="shared" si="115"/>
        <v>1110.3396164383562</v>
      </c>
      <c r="K1292" s="52">
        <f>+IF(OR(I1292="A + C",I1292="A"),$D$1296*$D$1301,0)</f>
        <v>12510</v>
      </c>
      <c r="L1292" s="53">
        <f t="shared" si="116"/>
        <v>37530</v>
      </c>
      <c r="M1292" s="94">
        <f t="shared" si="117"/>
        <v>13620.339616438356</v>
      </c>
      <c r="N1292" s="25"/>
    </row>
    <row r="1293" spans="1:14" ht="15.95" customHeight="1" x14ac:dyDescent="0.25">
      <c r="A1293" s="121"/>
      <c r="B1293" s="23"/>
      <c r="C1293" s="59" t="s">
        <v>10</v>
      </c>
      <c r="D1293" s="139">
        <v>43553</v>
      </c>
      <c r="E1293" s="36"/>
      <c r="F1293" s="36"/>
      <c r="G1293" s="89"/>
      <c r="H1293" s="51">
        <f>IF(DAY(H1292)=DAY($H$1283),IF(WEEKDAY(EDATE(H1292,$D$1297),3)&lt;5,EDATE(H1292,$D$1297),WORKDAY(EDATE(H1292,$D$1297),1)),IF(WEEKDAY(EDATE($H$1283,$D$1297*COUNT($H$1283:H1292)),3)&lt;5,EDATE($H$1283,$D$1297*COUNT($H$1283:H1292)),WORKDAY(EDATE($H$1283,$D$1297*COUNT($H$1283:H1292)),1)))</f>
        <v>44473</v>
      </c>
      <c r="I1293" s="137" t="s">
        <v>13</v>
      </c>
      <c r="J1293" s="52">
        <f t="shared" si="115"/>
        <v>832.75471232876703</v>
      </c>
      <c r="K1293" s="52">
        <f>+IF(OR(I1293="A + C",I1293="A"),$D$1296*$D$1301,0)</f>
        <v>12510</v>
      </c>
      <c r="L1293" s="53">
        <f t="shared" si="116"/>
        <v>25020</v>
      </c>
      <c r="M1293" s="94">
        <f t="shared" si="117"/>
        <v>13342.754712328768</v>
      </c>
      <c r="N1293" s="25"/>
    </row>
    <row r="1294" spans="1:14" ht="15.95" customHeight="1" x14ac:dyDescent="0.25">
      <c r="A1294" s="121"/>
      <c r="B1294" s="23"/>
      <c r="C1294" s="59" t="s">
        <v>11</v>
      </c>
      <c r="D1294" s="139">
        <v>43559</v>
      </c>
      <c r="E1294" s="41"/>
      <c r="F1294" s="24"/>
      <c r="G1294" s="90"/>
      <c r="H1294" s="51">
        <f>IF(DAY(H1293)=DAY($H$1283),IF(WEEKDAY(EDATE(H1293,$D$1297),3)&lt;5,EDATE(H1293,$D$1297),WORKDAY(EDATE(H1293,$D$1297),1)),IF(WEEKDAY(EDATE($H$1283,$D$1297*COUNT($H$1283:H1293)),3)&lt;5,EDATE($H$1283,$D$1297*COUNT($H$1283:H1293)),WORKDAY(EDATE($H$1283,$D$1297*COUNT($H$1283:H1293)),1)))</f>
        <v>44565</v>
      </c>
      <c r="I1294" s="137" t="s">
        <v>13</v>
      </c>
      <c r="J1294" s="52">
        <f t="shared" si="115"/>
        <v>561.27057534246569</v>
      </c>
      <c r="K1294" s="52">
        <f>+IF(OR(I1294="A + C",I1294="A"),$D$1296*$D$1301,0)</f>
        <v>12510</v>
      </c>
      <c r="L1294" s="53">
        <f t="shared" si="116"/>
        <v>12510</v>
      </c>
      <c r="M1294" s="94">
        <f t="shared" si="117"/>
        <v>13071.270575342465</v>
      </c>
      <c r="N1294" s="25"/>
    </row>
    <row r="1295" spans="1:14" ht="20.100000000000001" customHeight="1" x14ac:dyDescent="0.25">
      <c r="A1295" s="121"/>
      <c r="B1295" s="23"/>
      <c r="C1295" s="59" t="s">
        <v>12</v>
      </c>
      <c r="D1295" s="139">
        <v>44655</v>
      </c>
      <c r="E1295" s="36"/>
      <c r="F1295" s="24"/>
      <c r="G1295" s="90"/>
      <c r="H1295" s="51">
        <f>IF(DAY(H1294)=DAY($H$1283),IF(WEEKDAY(EDATE(H1294,$D$1297),3)&lt;5,EDATE(H1294,$D$1297),WORKDAY(EDATE(H1294,$D$1297),1)),IF(WEEKDAY(EDATE($H$1283,$D$1297*COUNT($H$1283:H1294)),3)&lt;5,EDATE($H$1283,$D$1297*COUNT($H$1283:H1294)),WORKDAY(EDATE($H$1283,$D$1297*COUNT($H$1283:H1294)),1)))</f>
        <v>44655</v>
      </c>
      <c r="I1295" s="137" t="s">
        <v>13</v>
      </c>
      <c r="J1295" s="52">
        <f t="shared" si="115"/>
        <v>274.53452054794519</v>
      </c>
      <c r="K1295" s="52">
        <f>+IF(OR(I1295="A + C",I1295="A"),$D$1296*$D$1301,0)</f>
        <v>12510</v>
      </c>
      <c r="L1295" s="53">
        <f t="shared" si="116"/>
        <v>0</v>
      </c>
      <c r="M1295" s="94">
        <f t="shared" si="117"/>
        <v>12784.534520547944</v>
      </c>
      <c r="N1295" s="25"/>
    </row>
    <row r="1296" spans="1:14" ht="15.95" customHeight="1" x14ac:dyDescent="0.25">
      <c r="A1296" s="121"/>
      <c r="B1296" s="23"/>
      <c r="C1296" s="59" t="s">
        <v>27</v>
      </c>
      <c r="D1296" s="140">
        <v>150000</v>
      </c>
      <c r="E1296" s="43"/>
      <c r="F1296" s="24"/>
      <c r="G1296" s="90"/>
      <c r="H1296" s="54"/>
      <c r="I1296" s="144"/>
      <c r="J1296" s="55"/>
      <c r="K1296" s="56"/>
      <c r="L1296" s="57"/>
      <c r="M1296" s="95"/>
      <c r="N1296" s="25"/>
    </row>
    <row r="1297" spans="1:16" ht="15.95" customHeight="1" x14ac:dyDescent="0.25">
      <c r="A1297" s="121"/>
      <c r="B1297" s="23"/>
      <c r="C1297" s="59" t="s">
        <v>26</v>
      </c>
      <c r="D1297" s="140">
        <v>3</v>
      </c>
      <c r="E1297" s="43"/>
      <c r="F1297" s="24"/>
      <c r="G1297" s="90"/>
      <c r="H1297" s="24"/>
      <c r="I1297" s="24"/>
      <c r="J1297" s="24"/>
      <c r="K1297" s="24"/>
      <c r="L1297" s="24"/>
      <c r="M1297" s="24"/>
      <c r="N1297" s="25"/>
      <c r="O1297" s="194" t="str">
        <f>+D1448</f>
        <v>ON Pyme CNV Garantizada</v>
      </c>
    </row>
    <row r="1298" spans="1:16" ht="15.95" customHeight="1" x14ac:dyDescent="0.25">
      <c r="A1298" s="121"/>
      <c r="B1298" s="23"/>
      <c r="C1298" s="59" t="s">
        <v>19</v>
      </c>
      <c r="D1298" s="141" t="s">
        <v>50</v>
      </c>
      <c r="E1298" s="43"/>
      <c r="F1298" s="24"/>
      <c r="G1298" s="90"/>
      <c r="H1298" s="680" t="s">
        <v>43</v>
      </c>
      <c r="I1298" s="680"/>
      <c r="J1298" s="92">
        <v>0</v>
      </c>
      <c r="K1298" s="92"/>
      <c r="L1298" s="24"/>
      <c r="M1298" s="24"/>
      <c r="N1298" s="25"/>
    </row>
    <row r="1299" spans="1:16" ht="15.95" customHeight="1" x14ac:dyDescent="0.25">
      <c r="A1299" s="121"/>
      <c r="B1299" s="23"/>
      <c r="C1299" s="59" t="s">
        <v>14</v>
      </c>
      <c r="D1299" s="142">
        <v>8.8999999999999996E-2</v>
      </c>
      <c r="E1299" s="44"/>
      <c r="F1299" s="24"/>
      <c r="G1299" s="90"/>
      <c r="H1299" s="657"/>
      <c r="I1299" s="657"/>
      <c r="J1299" s="392"/>
      <c r="K1299" s="24"/>
      <c r="L1299" s="33"/>
      <c r="M1299" s="33"/>
      <c r="N1299" s="25"/>
      <c r="O1299" s="194" t="str">
        <f>+IF(J1446="vencida",IF(D1448='Reporte - Oscuro'!$C$40,'Reporte - Oscuro'!$C$40&amp;" vencida",IF(D1448='Reporte - Oscuro'!$C$41,'Reporte - Oscuro'!$C$41&amp;" vencida",IF(D1448='Reporte - Oscuro'!$C$42,'Reporte - Oscuro'!$C$42&amp;" vencida",'Reporte - Oscuro'!$C$43&amp;" vencida"))),D1448&amp;" vigente")</f>
        <v>ON Pyme CNV Garantizada vencida</v>
      </c>
    </row>
    <row r="1300" spans="1:16" ht="15.95" customHeight="1" x14ac:dyDescent="0.25">
      <c r="A1300" s="121"/>
      <c r="B1300" s="23"/>
      <c r="C1300" s="59" t="s">
        <v>225</v>
      </c>
      <c r="D1300" s="142">
        <v>8.3299999999999999E-2</v>
      </c>
      <c r="E1300" s="24"/>
      <c r="F1300" s="24"/>
      <c r="G1300" s="90"/>
      <c r="H1300" s="24"/>
      <c r="I1300" s="24"/>
      <c r="J1300" s="24"/>
      <c r="K1300" s="24"/>
      <c r="L1300" s="24"/>
      <c r="M1300" s="24"/>
      <c r="N1300" s="25"/>
    </row>
    <row r="1301" spans="1:16" ht="15.95" customHeight="1" x14ac:dyDescent="0.25">
      <c r="A1301" s="121"/>
      <c r="B1301" s="23"/>
      <c r="C1301" s="59" t="s">
        <v>254</v>
      </c>
      <c r="D1301" s="142">
        <v>8.3400000000000002E-2</v>
      </c>
      <c r="E1301" s="24"/>
      <c r="F1301" s="24"/>
      <c r="G1301" s="90"/>
      <c r="H1301" s="638" t="s">
        <v>44</v>
      </c>
      <c r="I1301" s="639"/>
      <c r="J1301" s="639"/>
      <c r="K1301" s="639"/>
      <c r="L1301" s="639"/>
      <c r="M1301" s="640"/>
      <c r="N1301" s="25"/>
    </row>
    <row r="1302" spans="1:16" ht="15.95" customHeight="1" x14ac:dyDescent="0.25">
      <c r="A1302" s="121"/>
      <c r="B1302" s="23"/>
      <c r="C1302" s="63"/>
      <c r="D1302" s="145"/>
      <c r="E1302" s="24"/>
      <c r="F1302" s="24"/>
      <c r="G1302" s="90"/>
      <c r="H1302" s="23"/>
      <c r="I1302" s="24"/>
      <c r="J1302" s="24"/>
      <c r="K1302" s="24"/>
      <c r="L1302" s="24"/>
      <c r="M1302" s="25"/>
      <c r="N1302" s="25"/>
    </row>
    <row r="1303" spans="1:16" ht="15.95" customHeight="1" x14ac:dyDescent="0.25">
      <c r="A1303" s="121"/>
      <c r="B1303" s="23"/>
      <c r="C1303" s="24"/>
      <c r="D1303" s="24"/>
      <c r="E1303" s="24"/>
      <c r="F1303" s="24"/>
      <c r="G1303" s="90"/>
      <c r="H1303" s="23"/>
      <c r="I1303" s="24"/>
      <c r="J1303" s="24"/>
      <c r="K1303" s="24"/>
      <c r="L1303" s="24"/>
      <c r="M1303" s="25"/>
      <c r="N1303" s="25"/>
    </row>
    <row r="1304" spans="1:16" ht="15.95" customHeight="1" x14ac:dyDescent="0.25">
      <c r="A1304" s="121"/>
      <c r="B1304" s="23"/>
      <c r="C1304" s="24"/>
      <c r="D1304" s="24"/>
      <c r="E1304" s="24"/>
      <c r="F1304" s="24"/>
      <c r="G1304" s="90"/>
      <c r="H1304" s="96"/>
      <c r="I1304" s="35"/>
      <c r="J1304" s="24"/>
      <c r="K1304" s="24"/>
      <c r="L1304" s="24"/>
      <c r="M1304" s="25"/>
      <c r="N1304" s="25"/>
      <c r="O1304" s="97">
        <f>+M1451</f>
        <v>-200000</v>
      </c>
    </row>
    <row r="1305" spans="1:16" ht="15.95" customHeight="1" x14ac:dyDescent="0.25">
      <c r="A1305" s="121"/>
      <c r="B1305" s="23"/>
      <c r="C1305" s="24"/>
      <c r="D1305" s="24"/>
      <c r="E1305" s="24"/>
      <c r="F1305" s="24"/>
      <c r="G1305" s="90"/>
      <c r="H1305" s="23"/>
      <c r="I1305" s="24"/>
      <c r="J1305" s="24"/>
      <c r="K1305" s="24"/>
      <c r="L1305" s="24"/>
      <c r="M1305" s="25"/>
      <c r="N1305" s="25"/>
      <c r="O1305" s="97">
        <f t="shared" ref="O1305:O1320" si="119">+M1452+O1304</f>
        <v>-194958.90410958903</v>
      </c>
    </row>
    <row r="1306" spans="1:16" ht="15.95" customHeight="1" x14ac:dyDescent="0.25">
      <c r="A1306" s="121"/>
      <c r="B1306" s="23"/>
      <c r="C1306" s="24"/>
      <c r="D1306" s="24"/>
      <c r="E1306" s="24"/>
      <c r="F1306" s="24"/>
      <c r="G1306" s="90"/>
      <c r="H1306" s="23"/>
      <c r="I1306" s="24"/>
      <c r="J1306" s="24"/>
      <c r="K1306" s="24"/>
      <c r="L1306" s="24"/>
      <c r="M1306" s="25"/>
      <c r="N1306" s="25"/>
      <c r="O1306" s="97">
        <f t="shared" si="119"/>
        <v>-190082.19178082192</v>
      </c>
    </row>
    <row r="1307" spans="1:16" ht="15.95" customHeight="1" x14ac:dyDescent="0.25">
      <c r="A1307" s="121"/>
      <c r="B1307" s="23"/>
      <c r="C1307" s="24"/>
      <c r="D1307" s="24"/>
      <c r="E1307" s="24"/>
      <c r="F1307" s="24"/>
      <c r="G1307" s="90"/>
      <c r="H1307" s="23"/>
      <c r="I1307" s="24"/>
      <c r="J1307" s="24"/>
      <c r="K1307" s="24"/>
      <c r="L1307" s="24"/>
      <c r="M1307" s="25"/>
      <c r="N1307" s="25"/>
      <c r="O1307" s="97">
        <f t="shared" si="119"/>
        <v>-185041.09589041094</v>
      </c>
    </row>
    <row r="1308" spans="1:16" ht="15.95" customHeight="1" x14ac:dyDescent="0.25">
      <c r="A1308" s="121"/>
      <c r="B1308" s="23"/>
      <c r="C1308" s="24"/>
      <c r="D1308" s="24"/>
      <c r="E1308" s="24"/>
      <c r="F1308" s="24"/>
      <c r="G1308" s="90"/>
      <c r="H1308" s="23"/>
      <c r="I1308" s="24"/>
      <c r="J1308" s="24"/>
      <c r="K1308" s="24"/>
      <c r="L1308" s="24"/>
      <c r="M1308" s="25"/>
      <c r="N1308" s="25"/>
      <c r="O1308" s="97">
        <f t="shared" si="119"/>
        <v>-179999.99999999997</v>
      </c>
    </row>
    <row r="1309" spans="1:16" ht="15.95" customHeight="1" x14ac:dyDescent="0.25">
      <c r="A1309" s="121"/>
      <c r="B1309" s="23"/>
      <c r="C1309" s="24"/>
      <c r="D1309" s="24"/>
      <c r="E1309" s="24"/>
      <c r="F1309" s="24"/>
      <c r="G1309" s="90"/>
      <c r="H1309" s="23"/>
      <c r="I1309" s="24"/>
      <c r="J1309" s="24"/>
      <c r="K1309" s="24"/>
      <c r="L1309" s="24"/>
      <c r="M1309" s="25"/>
      <c r="N1309" s="25"/>
      <c r="O1309" s="97">
        <f t="shared" si="119"/>
        <v>-174958.904109589</v>
      </c>
      <c r="P1309" s="29"/>
    </row>
    <row r="1310" spans="1:16" ht="15.95" customHeight="1" x14ac:dyDescent="0.25">
      <c r="A1310" s="121"/>
      <c r="B1310" s="23"/>
      <c r="C1310" s="24"/>
      <c r="D1310" s="24"/>
      <c r="E1310" s="24"/>
      <c r="F1310" s="24"/>
      <c r="G1310" s="90"/>
      <c r="H1310" s="23"/>
      <c r="I1310" s="24"/>
      <c r="J1310" s="24"/>
      <c r="K1310" s="24"/>
      <c r="L1310" s="24"/>
      <c r="M1310" s="25"/>
      <c r="N1310" s="25"/>
      <c r="O1310" s="97">
        <f t="shared" si="119"/>
        <v>-170027.39726027392</v>
      </c>
      <c r="P1310" s="29"/>
    </row>
    <row r="1311" spans="1:16" ht="15.95" customHeight="1" x14ac:dyDescent="0.25">
      <c r="A1311" s="121"/>
      <c r="B1311" s="23"/>
      <c r="C1311" s="24"/>
      <c r="D1311" s="24"/>
      <c r="E1311" s="24"/>
      <c r="F1311" s="24"/>
      <c r="G1311" s="90"/>
      <c r="H1311" s="23"/>
      <c r="I1311" s="24"/>
      <c r="J1311" s="24"/>
      <c r="K1311" s="24"/>
      <c r="L1311" s="24"/>
      <c r="M1311" s="25"/>
      <c r="N1311" s="25"/>
      <c r="O1311" s="97">
        <f t="shared" si="119"/>
        <v>-144986.30136986295</v>
      </c>
    </row>
    <row r="1312" spans="1:16" ht="15.95" customHeight="1" x14ac:dyDescent="0.25">
      <c r="A1312" s="121"/>
      <c r="B1312" s="23"/>
      <c r="C1312" s="24"/>
      <c r="D1312" s="24"/>
      <c r="E1312" s="24"/>
      <c r="F1312" s="24"/>
      <c r="G1312" s="90"/>
      <c r="H1312" s="23"/>
      <c r="I1312" s="24"/>
      <c r="J1312" s="24"/>
      <c r="K1312" s="24"/>
      <c r="L1312" s="24"/>
      <c r="M1312" s="25"/>
      <c r="N1312" s="25"/>
      <c r="O1312" s="97">
        <f t="shared" si="119"/>
        <v>-120350.68493150678</v>
      </c>
      <c r="P1312" s="29"/>
    </row>
    <row r="1313" spans="1:16" ht="15.95" customHeight="1" x14ac:dyDescent="0.25">
      <c r="A1313" s="121"/>
      <c r="B1313" s="23"/>
      <c r="C1313" s="24"/>
      <c r="D1313" s="24"/>
      <c r="E1313" s="24"/>
      <c r="F1313" s="24"/>
      <c r="G1313" s="90"/>
      <c r="H1313" s="26"/>
      <c r="I1313" s="27"/>
      <c r="J1313" s="27"/>
      <c r="K1313" s="27"/>
      <c r="L1313" s="27"/>
      <c r="M1313" s="28"/>
      <c r="N1313" s="25"/>
      <c r="O1313" s="97">
        <f t="shared" si="119"/>
        <v>-96361.643835616371</v>
      </c>
      <c r="P1313" s="29"/>
    </row>
    <row r="1314" spans="1:16" ht="15.95" customHeight="1" x14ac:dyDescent="0.25">
      <c r="A1314" s="121"/>
      <c r="B1314" s="26"/>
      <c r="C1314" s="85"/>
      <c r="D1314" s="27"/>
      <c r="E1314" s="27"/>
      <c r="F1314" s="27"/>
      <c r="G1314" s="91"/>
      <c r="H1314" s="27"/>
      <c r="I1314" s="27"/>
      <c r="J1314" s="27"/>
      <c r="K1314" s="27"/>
      <c r="L1314" s="27"/>
      <c r="M1314" s="27"/>
      <c r="N1314" s="28"/>
      <c r="O1314" s="97">
        <f t="shared" si="119"/>
        <v>-72986.301369862951</v>
      </c>
    </row>
    <row r="1315" spans="1:16" ht="15.95" customHeight="1" x14ac:dyDescent="0.25">
      <c r="A1315" s="121"/>
      <c r="B1315" s="23"/>
      <c r="C1315" s="24"/>
      <c r="D1315" s="24"/>
      <c r="E1315" s="24"/>
      <c r="F1315" s="24"/>
      <c r="G1315" s="24"/>
      <c r="H1315" s="24"/>
      <c r="I1315" s="24"/>
      <c r="J1315" s="24"/>
      <c r="K1315" s="24"/>
      <c r="L1315" s="24"/>
      <c r="M1315" s="24"/>
      <c r="N1315" s="25"/>
      <c r="O1315" s="97">
        <f t="shared" si="119"/>
        <v>-49895.89041095884</v>
      </c>
    </row>
    <row r="1316" spans="1:16" ht="15.95" customHeight="1" x14ac:dyDescent="0.25">
      <c r="A1316" s="121"/>
      <c r="B1316" s="683" t="s">
        <v>201</v>
      </c>
      <c r="C1316" s="684"/>
      <c r="D1316" s="684"/>
      <c r="E1316" s="684"/>
      <c r="F1316" s="684"/>
      <c r="G1316" s="684"/>
      <c r="H1316" s="684"/>
      <c r="I1316" s="684"/>
      <c r="J1316" s="684"/>
      <c r="K1316" s="684"/>
      <c r="L1316" s="684"/>
      <c r="M1316" s="684"/>
      <c r="N1316" s="685"/>
      <c r="O1316" s="97">
        <f t="shared" si="119"/>
        <v>-27402.739726027332</v>
      </c>
    </row>
    <row r="1317" spans="1:16" ht="15.95" customHeight="1" x14ac:dyDescent="0.25">
      <c r="A1317" s="121"/>
      <c r="B1317" s="23"/>
      <c r="C1317" s="24"/>
      <c r="D1317" s="24"/>
      <c r="E1317" s="24"/>
      <c r="F1317" s="31"/>
      <c r="G1317" s="87"/>
      <c r="H1317" s="31"/>
      <c r="I1317" s="31"/>
      <c r="J1317" s="24"/>
      <c r="K1317" s="24"/>
      <c r="L1317" s="24"/>
      <c r="M1317" s="24"/>
      <c r="N1317" s="25"/>
      <c r="O1317" s="97">
        <f t="shared" si="119"/>
        <v>-5408.2191780821267</v>
      </c>
    </row>
    <row r="1318" spans="1:16" ht="15.95" customHeight="1" x14ac:dyDescent="0.25">
      <c r="A1318" s="121"/>
      <c r="B1318" s="23"/>
      <c r="C1318" s="638" t="s">
        <v>37</v>
      </c>
      <c r="D1318" s="639"/>
      <c r="E1318" s="640"/>
      <c r="F1318" s="31"/>
      <c r="G1318" s="87"/>
      <c r="H1318" s="641" t="s">
        <v>28</v>
      </c>
      <c r="I1318" s="642"/>
      <c r="J1318" s="39">
        <f>+$D$1338-SUMIF($H$1324:$H$1338,"&lt;"&amp;$M$4,$K$1324:$K$1338)</f>
        <v>0</v>
      </c>
      <c r="K1318" s="24"/>
      <c r="L1318" s="24"/>
      <c r="M1318" s="24"/>
      <c r="N1318" s="25"/>
      <c r="O1318" s="97">
        <f t="shared" si="119"/>
        <v>16087.671232876779</v>
      </c>
    </row>
    <row r="1319" spans="1:16" ht="15.95" customHeight="1" x14ac:dyDescent="0.25">
      <c r="A1319" s="121"/>
      <c r="B1319" s="23"/>
      <c r="C1319" s="58"/>
      <c r="D1319" s="664"/>
      <c r="E1319" s="665"/>
      <c r="F1319" s="31"/>
      <c r="G1319" s="87"/>
      <c r="H1319" s="645" t="s">
        <v>29</v>
      </c>
      <c r="I1319" s="646"/>
      <c r="J1319" s="40">
        <f>+$D$1337</f>
        <v>44236</v>
      </c>
      <c r="K1319" s="24"/>
      <c r="L1319" s="24"/>
      <c r="M1319" s="24"/>
      <c r="N1319" s="25"/>
      <c r="O1319" s="97">
        <f t="shared" si="119"/>
        <v>37084.931506849382</v>
      </c>
    </row>
    <row r="1320" spans="1:16" ht="15.95" customHeight="1" x14ac:dyDescent="0.25">
      <c r="A1320" s="121"/>
      <c r="B1320" s="23"/>
      <c r="C1320" s="59" t="s">
        <v>25</v>
      </c>
      <c r="D1320" s="681"/>
      <c r="E1320" s="682"/>
      <c r="F1320" s="31"/>
      <c r="G1320" s="87"/>
      <c r="H1320" s="649" t="s">
        <v>30</v>
      </c>
      <c r="I1320" s="650"/>
      <c r="J1320" s="42" t="str">
        <f t="array" ref="J1320">+IF($H1337&gt;=$M$4,MIN(IF($H$1324:$H1338&gt;$M$4,$H$1324:$H1338,"")),"vencida")</f>
        <v>vencida</v>
      </c>
      <c r="K1320" s="24"/>
      <c r="L1320" s="24"/>
      <c r="M1320" s="24"/>
      <c r="N1320" s="25"/>
      <c r="O1320" s="97">
        <f t="shared" si="119"/>
        <v>57583.561643835681</v>
      </c>
    </row>
    <row r="1321" spans="1:16" ht="15.95" customHeight="1" x14ac:dyDescent="0.25">
      <c r="A1321" s="121"/>
      <c r="B1321" s="23"/>
      <c r="C1321" s="59" t="s">
        <v>6</v>
      </c>
      <c r="D1321" s="681" t="s">
        <v>255</v>
      </c>
      <c r="E1321" s="682"/>
      <c r="F1321" s="31"/>
      <c r="G1321" s="87"/>
      <c r="H1321" s="24"/>
      <c r="I1321" s="24"/>
      <c r="J1321" s="24"/>
      <c r="K1321" s="24"/>
      <c r="L1321" s="24"/>
      <c r="M1321" s="24"/>
      <c r="N1321" s="25"/>
    </row>
    <row r="1322" spans="1:16" ht="15.95" customHeight="1" x14ac:dyDescent="0.25">
      <c r="A1322" s="121"/>
      <c r="B1322" s="23"/>
      <c r="C1322" s="59" t="s">
        <v>8</v>
      </c>
      <c r="D1322" s="681" t="s">
        <v>17</v>
      </c>
      <c r="E1322" s="682"/>
      <c r="F1322" s="31"/>
      <c r="G1322" s="87"/>
      <c r="H1322" s="651" t="s">
        <v>41</v>
      </c>
      <c r="I1322" s="652"/>
      <c r="J1322" s="652"/>
      <c r="K1322" s="652"/>
      <c r="L1322" s="653"/>
      <c r="M1322" s="24"/>
      <c r="N1322" s="25"/>
    </row>
    <row r="1323" spans="1:16" ht="15.95" customHeight="1" x14ac:dyDescent="0.25">
      <c r="A1323" s="121"/>
      <c r="B1323" s="23"/>
      <c r="C1323" s="59" t="s">
        <v>33</v>
      </c>
      <c r="D1323" s="132" t="s">
        <v>301</v>
      </c>
      <c r="E1323" s="274">
        <v>1</v>
      </c>
      <c r="F1323" s="281">
        <f>+E1323*J1318</f>
        <v>0</v>
      </c>
      <c r="G1323" s="87"/>
      <c r="H1323" s="126" t="s">
        <v>0</v>
      </c>
      <c r="I1323" s="127" t="s">
        <v>2</v>
      </c>
      <c r="J1323" s="127" t="s">
        <v>3</v>
      </c>
      <c r="K1323" s="127" t="s">
        <v>4</v>
      </c>
      <c r="L1323" s="128" t="s">
        <v>5</v>
      </c>
      <c r="M1323" s="127" t="s">
        <v>44</v>
      </c>
      <c r="N1323" s="25"/>
    </row>
    <row r="1324" spans="1:16" ht="15.95" customHeight="1" x14ac:dyDescent="0.25">
      <c r="A1324" s="121"/>
      <c r="B1324" s="23"/>
      <c r="C1324" s="59" t="s">
        <v>34</v>
      </c>
      <c r="D1324" s="681" t="s">
        <v>48</v>
      </c>
      <c r="E1324" s="682"/>
      <c r="F1324" s="31"/>
      <c r="G1324" s="87"/>
      <c r="H1324" s="45"/>
      <c r="I1324" s="46"/>
      <c r="J1324" s="46"/>
      <c r="K1324" s="46"/>
      <c r="L1324" s="47"/>
      <c r="M1324" s="23"/>
      <c r="N1324" s="25"/>
    </row>
    <row r="1325" spans="1:16" ht="15.95" customHeight="1" x14ac:dyDescent="0.25">
      <c r="A1325" s="121"/>
      <c r="B1325" s="23"/>
      <c r="C1325" s="79" t="s">
        <v>38</v>
      </c>
      <c r="D1325" s="130"/>
      <c r="E1325" s="131"/>
      <c r="F1325" s="31"/>
      <c r="G1325" s="87"/>
      <c r="H1325" s="48">
        <f>+$D$1336</f>
        <v>43140</v>
      </c>
      <c r="I1325" s="136"/>
      <c r="J1325" s="49"/>
      <c r="K1325" s="49"/>
      <c r="L1325" s="50">
        <f>+D1338</f>
        <v>350000</v>
      </c>
      <c r="M1325" s="93">
        <f>-L1325</f>
        <v>-350000</v>
      </c>
      <c r="N1325" s="25"/>
    </row>
    <row r="1326" spans="1:16" ht="15.95" customHeight="1" x14ac:dyDescent="0.25">
      <c r="A1326" s="121"/>
      <c r="B1326" s="23"/>
      <c r="C1326" s="59"/>
      <c r="D1326" s="132"/>
      <c r="E1326" s="133"/>
      <c r="F1326" s="31"/>
      <c r="G1326" s="87"/>
      <c r="H1326" s="51">
        <f>IF(DAY(H1325)=DAY($H$1325),IF(WEEKDAY(EDATE(H1325,$D$1339),3)&lt;5,EDATE(H1325,$D$1339),WORKDAY(EDATE(H1325,$D$1339),1)),IF(WEEKDAY(EDATE($H$1325,$D$1339*COUNT($H$1325:H1325)),3)&lt;5,EDATE($H$1325,$D$1339*COUNT($H$1325:H1325)),WORKDAY(EDATE($H$1325,$D$1339*COUNT($H$1325:H1325)),1)))</f>
        <v>43229</v>
      </c>
      <c r="I1326" s="137" t="s">
        <v>7</v>
      </c>
      <c r="J1326" s="52">
        <f t="shared" ref="J1326:J1337" si="120">+(($D$1341/365)*(H1326-H1325))*L1325</f>
        <v>10241.095890410959</v>
      </c>
      <c r="K1326" s="52">
        <f>+IF(OR(I1326="A + C",I1326="A"),$L$1325*$D$1342,0)</f>
        <v>0</v>
      </c>
      <c r="L1326" s="53">
        <f t="shared" ref="L1326:L1337" si="121">+L1325-K1326</f>
        <v>350000</v>
      </c>
      <c r="M1326" s="94">
        <f t="shared" ref="M1326:M1337" si="122">+J1326+K1326</f>
        <v>10241.095890410959</v>
      </c>
      <c r="N1326" s="25"/>
    </row>
    <row r="1327" spans="1:16" ht="15.95" customHeight="1" x14ac:dyDescent="0.25">
      <c r="A1327" s="121"/>
      <c r="B1327" s="23"/>
      <c r="C1327" s="60"/>
      <c r="D1327" s="134"/>
      <c r="E1327" s="135"/>
      <c r="F1327" s="34"/>
      <c r="G1327" s="88"/>
      <c r="H1327" s="51">
        <f>IF(DAY(H1326)=DAY($H$1325),IF(WEEKDAY(EDATE(H1326,$D$1339),3)&lt;5,EDATE(H1326,$D$1339),WORKDAY(EDATE(H1326,$D$1339),1)),IF(WEEKDAY(EDATE($H$1325,$D$1339*COUNT($H$1325:H1326)),3)&lt;5,EDATE($H$1325,$D$1339*COUNT($H$1325:H1326)),WORKDAY(EDATE($H$1325,$D$1339*COUNT($H$1325:H1326)),1)))</f>
        <v>43321</v>
      </c>
      <c r="I1327" s="137" t="s">
        <v>7</v>
      </c>
      <c r="J1327" s="52">
        <f t="shared" si="120"/>
        <v>10586.301369863015</v>
      </c>
      <c r="K1327" s="52">
        <f t="shared" ref="K1327:K1336" si="123">+IF(OR(I1327="A + C",I1327="A"),$D$1338*$D$1342,0)</f>
        <v>0</v>
      </c>
      <c r="L1327" s="53">
        <f t="shared" si="121"/>
        <v>350000</v>
      </c>
      <c r="M1327" s="94">
        <f t="shared" si="122"/>
        <v>10586.301369863015</v>
      </c>
      <c r="N1327" s="25"/>
    </row>
    <row r="1328" spans="1:16" ht="15.95" customHeight="1" x14ac:dyDescent="0.25">
      <c r="A1328" s="121"/>
      <c r="B1328" s="23"/>
      <c r="C1328" s="60"/>
      <c r="D1328" s="55" t="str">
        <f>B1316</f>
        <v>Maxisur I</v>
      </c>
      <c r="E1328" s="64"/>
      <c r="F1328" s="34"/>
      <c r="G1328" s="88">
        <f>J1318</f>
        <v>0</v>
      </c>
      <c r="H1328" s="51">
        <f>IF(DAY(H1327)=DAY($H$1325),IF(WEEKDAY(EDATE(H1327,$D$1339),3)&lt;5,EDATE(H1327,$D$1339),WORKDAY(EDATE(H1327,$D$1339),1)),IF(WEEKDAY(EDATE($H$1325,$D$1339*COUNT($H$1325:H1327)),3)&lt;5,EDATE($H$1325,$D$1339*COUNT($H$1325:H1327)),WORKDAY(EDATE($H$1325,$D$1339*COUNT($H$1325:H1327)),1)))</f>
        <v>43413</v>
      </c>
      <c r="I1328" s="137" t="s">
        <v>7</v>
      </c>
      <c r="J1328" s="52">
        <f t="shared" si="120"/>
        <v>10586.301369863015</v>
      </c>
      <c r="K1328" s="52">
        <f t="shared" si="123"/>
        <v>0</v>
      </c>
      <c r="L1328" s="53">
        <f t="shared" si="121"/>
        <v>350000</v>
      </c>
      <c r="M1328" s="94">
        <f t="shared" si="122"/>
        <v>10586.301369863015</v>
      </c>
      <c r="N1328" s="25"/>
    </row>
    <row r="1329" spans="1:15" ht="15.95" customHeight="1" x14ac:dyDescent="0.25">
      <c r="A1329" s="121"/>
      <c r="B1329" s="32"/>
      <c r="D1329" s="644"/>
      <c r="E1329" s="660"/>
      <c r="F1329" s="34"/>
      <c r="G1329" s="88"/>
      <c r="H1329" s="51">
        <f>IF(DAY(H1328)=DAY($H$1325),IF(WEEKDAY(EDATE(H1328,$D$1339),3)&lt;5,EDATE(H1328,$D$1339),WORKDAY(EDATE(H1328,$D$1339),1)),IF(WEEKDAY(EDATE($H$1325,$D$1339*COUNT($H$1325:H1328)),3)&lt;5,EDATE($H$1325,$D$1339*COUNT($H$1325:H1328)),WORKDAY(EDATE($H$1325,$D$1339*COUNT($H$1325:H1328)),1)))</f>
        <v>43507</v>
      </c>
      <c r="I1329" s="137" t="s">
        <v>13</v>
      </c>
      <c r="J1329" s="52">
        <f t="shared" si="120"/>
        <v>10816.438356164384</v>
      </c>
      <c r="K1329" s="52">
        <f t="shared" si="123"/>
        <v>38885</v>
      </c>
      <c r="L1329" s="53">
        <f t="shared" si="121"/>
        <v>311115</v>
      </c>
      <c r="M1329" s="94">
        <f t="shared" si="122"/>
        <v>49701.438356164384</v>
      </c>
      <c r="N1329" s="25"/>
    </row>
    <row r="1330" spans="1:15" ht="15.95" customHeight="1" x14ac:dyDescent="0.25">
      <c r="A1330" s="121"/>
      <c r="B1330" s="23"/>
      <c r="C1330" s="638" t="s">
        <v>36</v>
      </c>
      <c r="D1330" s="640"/>
      <c r="E1330" s="36"/>
      <c r="F1330" s="34"/>
      <c r="G1330" s="88"/>
      <c r="H1330" s="51">
        <f>IF(DAY(H1329)=DAY($H$1325),IF(WEEKDAY(EDATE(H1329,$D$1339),3)&lt;5,EDATE(H1329,$D$1339),WORKDAY(EDATE(H1329,$D$1339),1)),IF(WEEKDAY(EDATE($H$1325,$D$1339*COUNT($H$1325:H1329)),3)&lt;5,EDATE($H$1325,$D$1339*COUNT($H$1325:H1329)),WORKDAY(EDATE($H$1325,$D$1339*COUNT($H$1325:H1329)),1)))</f>
        <v>43594</v>
      </c>
      <c r="I1330" s="137" t="s">
        <v>13</v>
      </c>
      <c r="J1330" s="52">
        <f t="shared" si="120"/>
        <v>8898.7413698630135</v>
      </c>
      <c r="K1330" s="52">
        <f t="shared" si="123"/>
        <v>38885</v>
      </c>
      <c r="L1330" s="53">
        <f t="shared" si="121"/>
        <v>272230</v>
      </c>
      <c r="M1330" s="94">
        <f t="shared" si="122"/>
        <v>47783.741369863012</v>
      </c>
      <c r="N1330" s="25"/>
    </row>
    <row r="1331" spans="1:15" ht="15.95" customHeight="1" x14ac:dyDescent="0.25">
      <c r="A1331" s="121"/>
      <c r="B1331" s="23"/>
      <c r="C1331" s="59"/>
      <c r="D1331" s="62"/>
      <c r="E1331" s="36"/>
      <c r="F1331" s="36"/>
      <c r="G1331" s="89"/>
      <c r="H1331" s="51">
        <f>IF(DAY(H1330)=DAY($H$1325),IF(WEEKDAY(EDATE(H1330,$D$1339),3)&lt;5,EDATE(H1330,$D$1339),WORKDAY(EDATE(H1330,$D$1339),1)),IF(WEEKDAY(EDATE($H$1325,$D$1339*COUNT($H$1325:H1330)),3)&lt;5,EDATE($H$1325,$D$1339*COUNT($H$1325:H1330)),WORKDAY(EDATE($H$1325,$D$1339*COUNT($H$1325:H1330)),1)))</f>
        <v>43686</v>
      </c>
      <c r="I1331" s="137" t="s">
        <v>13</v>
      </c>
      <c r="J1331" s="52">
        <f t="shared" si="120"/>
        <v>8234.0252054794528</v>
      </c>
      <c r="K1331" s="52">
        <f t="shared" si="123"/>
        <v>38885</v>
      </c>
      <c r="L1331" s="53">
        <f t="shared" si="121"/>
        <v>233345</v>
      </c>
      <c r="M1331" s="94">
        <f t="shared" si="122"/>
        <v>47119.025205479455</v>
      </c>
      <c r="N1331" s="25"/>
    </row>
    <row r="1332" spans="1:15" ht="15.95" customHeight="1" x14ac:dyDescent="0.25">
      <c r="A1332" s="121"/>
      <c r="B1332" s="23"/>
      <c r="C1332" s="59" t="s">
        <v>9</v>
      </c>
      <c r="D1332" s="129" t="s">
        <v>49</v>
      </c>
      <c r="E1332" s="36"/>
      <c r="F1332" s="36"/>
      <c r="G1332" s="89"/>
      <c r="H1332" s="51">
        <f>IF(DAY(H1331)=DAY($H$1325),IF(WEEKDAY(EDATE(H1331,$D$1339),3)&lt;5,EDATE(H1331,$D$1339),WORKDAY(EDATE(H1331,$D$1339),1)),IF(WEEKDAY(EDATE($H$1325,$D$1339*COUNT($H$1325:H1331)),3)&lt;5,EDATE($H$1325,$D$1339*COUNT($H$1325:H1331)),WORKDAY(EDATE($H$1325,$D$1339*COUNT($H$1325:H1331)),1)))</f>
        <v>43780</v>
      </c>
      <c r="I1332" s="137" t="s">
        <v>13</v>
      </c>
      <c r="J1332" s="52">
        <f t="shared" si="120"/>
        <v>7211.319452054795</v>
      </c>
      <c r="K1332" s="52">
        <f t="shared" si="123"/>
        <v>38885</v>
      </c>
      <c r="L1332" s="53">
        <f t="shared" si="121"/>
        <v>194460</v>
      </c>
      <c r="M1332" s="94">
        <f t="shared" si="122"/>
        <v>46096.319452054799</v>
      </c>
      <c r="N1332" s="25"/>
    </row>
    <row r="1333" spans="1:15" ht="15.95" customHeight="1" x14ac:dyDescent="0.25">
      <c r="A1333" s="121"/>
      <c r="B1333" s="23"/>
      <c r="C1333" s="59" t="s">
        <v>51</v>
      </c>
      <c r="D1333" s="138" t="s">
        <v>49</v>
      </c>
      <c r="E1333" s="36"/>
      <c r="F1333" s="36"/>
      <c r="G1333" s="89"/>
      <c r="H1333" s="51">
        <f>IF(DAY(H1332)=DAY($H$1325),IF(WEEKDAY(EDATE(H1332,$D$1339),3)&lt;5,EDATE(H1332,$D$1339),WORKDAY(EDATE(H1332,$D$1339),1)),IF(WEEKDAY(EDATE($H$1325,$D$1339*COUNT($H$1325:H1332)),3)&lt;5,EDATE($H$1325,$D$1339*COUNT($H$1325:H1332)),WORKDAY(EDATE($H$1325,$D$1339*COUNT($H$1325:H1332)),1)))</f>
        <v>43871</v>
      </c>
      <c r="I1333" s="137" t="s">
        <v>13</v>
      </c>
      <c r="J1333" s="52">
        <f t="shared" si="120"/>
        <v>5817.81698630137</v>
      </c>
      <c r="K1333" s="52">
        <f t="shared" si="123"/>
        <v>38885</v>
      </c>
      <c r="L1333" s="53">
        <f t="shared" si="121"/>
        <v>155575</v>
      </c>
      <c r="M1333" s="94">
        <f t="shared" si="122"/>
        <v>44702.816986301368</v>
      </c>
      <c r="N1333" s="25"/>
    </row>
    <row r="1334" spans="1:15" ht="15.95" customHeight="1" x14ac:dyDescent="0.25">
      <c r="A1334" s="121"/>
      <c r="B1334" s="23"/>
      <c r="C1334" s="59" t="s">
        <v>52</v>
      </c>
      <c r="D1334" s="138" t="s">
        <v>49</v>
      </c>
      <c r="E1334" s="36"/>
      <c r="F1334" s="36"/>
      <c r="G1334" s="89"/>
      <c r="H1334" s="51">
        <f>IF(DAY(H1333)=DAY($H$1325),IF(WEEKDAY(EDATE(H1333,$D$1339),3)&lt;5,EDATE(H1333,$D$1339),WORKDAY(EDATE(H1333,$D$1339),1)),IF(WEEKDAY(EDATE($H$1325,$D$1339*COUNT($H$1325:H1333)),3)&lt;5,EDATE($H$1325,$D$1339*COUNT($H$1325:H1333)),WORKDAY(EDATE($H$1325,$D$1339*COUNT($H$1325:H1333)),1)))</f>
        <v>43962</v>
      </c>
      <c r="I1334" s="137" t="s">
        <v>13</v>
      </c>
      <c r="J1334" s="52">
        <f t="shared" si="120"/>
        <v>4654.4630136986298</v>
      </c>
      <c r="K1334" s="52">
        <f t="shared" si="123"/>
        <v>38885</v>
      </c>
      <c r="L1334" s="53">
        <f t="shared" si="121"/>
        <v>116690</v>
      </c>
      <c r="M1334" s="94">
        <f t="shared" si="122"/>
        <v>43539.463013698631</v>
      </c>
      <c r="N1334" s="25"/>
    </row>
    <row r="1335" spans="1:15" ht="15.95" customHeight="1" x14ac:dyDescent="0.25">
      <c r="A1335" s="121"/>
      <c r="B1335" s="23"/>
      <c r="C1335" s="59" t="s">
        <v>10</v>
      </c>
      <c r="D1335" s="139">
        <v>43138</v>
      </c>
      <c r="E1335" s="36"/>
      <c r="F1335" s="36"/>
      <c r="G1335" s="89"/>
      <c r="H1335" s="51">
        <f>IF(DAY(H1334)=DAY($H$1325),IF(WEEKDAY(EDATE(H1334,$D$1339),3)&lt;5,EDATE(H1334,$D$1339),WORKDAY(EDATE(H1334,$D$1339),1)),IF(WEEKDAY(EDATE($H$1325,$D$1339*COUNT($H$1325:H1334)),3)&lt;5,EDATE($H$1325,$D$1339*COUNT($H$1325:H1334)),WORKDAY(EDATE($H$1325,$D$1339*COUNT($H$1325:H1334)),1)))</f>
        <v>44053</v>
      </c>
      <c r="I1335" s="137" t="s">
        <v>13</v>
      </c>
      <c r="J1335" s="52">
        <f t="shared" si="120"/>
        <v>3491.1090410958905</v>
      </c>
      <c r="K1335" s="52">
        <f t="shared" si="123"/>
        <v>38885</v>
      </c>
      <c r="L1335" s="53">
        <f t="shared" si="121"/>
        <v>77805</v>
      </c>
      <c r="M1335" s="94">
        <f t="shared" si="122"/>
        <v>42376.109041095893</v>
      </c>
      <c r="N1335" s="25"/>
    </row>
    <row r="1336" spans="1:15" ht="15.95" customHeight="1" x14ac:dyDescent="0.25">
      <c r="A1336" s="121"/>
      <c r="B1336" s="23"/>
      <c r="C1336" s="59" t="s">
        <v>11</v>
      </c>
      <c r="D1336" s="139">
        <v>43140</v>
      </c>
      <c r="E1336" s="41"/>
      <c r="F1336" s="24"/>
      <c r="G1336" s="90"/>
      <c r="H1336" s="51">
        <f>IF(DAY(H1335)=DAY($H$1325),IF(WEEKDAY(EDATE(H1335,$D$1339),3)&lt;5,EDATE(H1335,$D$1339),WORKDAY(EDATE(H1335,$D$1339),1)),IF(WEEKDAY(EDATE($H$1325,$D$1339*COUNT($H$1325:H1335)),3)&lt;5,EDATE($H$1325,$D$1339*COUNT($H$1325:H1335)),WORKDAY(EDATE($H$1325,$D$1339*COUNT($H$1325:H1335)),1)))</f>
        <v>44144</v>
      </c>
      <c r="I1336" s="137" t="s">
        <v>13</v>
      </c>
      <c r="J1336" s="52">
        <f t="shared" si="120"/>
        <v>2327.7550684931507</v>
      </c>
      <c r="K1336" s="52">
        <f t="shared" si="123"/>
        <v>38885</v>
      </c>
      <c r="L1336" s="53">
        <f t="shared" si="121"/>
        <v>38920</v>
      </c>
      <c r="M1336" s="94">
        <f t="shared" si="122"/>
        <v>41212.755068493148</v>
      </c>
      <c r="N1336" s="25"/>
    </row>
    <row r="1337" spans="1:15" ht="15.95" customHeight="1" x14ac:dyDescent="0.25">
      <c r="A1337" s="121"/>
      <c r="B1337" s="23"/>
      <c r="C1337" s="59" t="s">
        <v>12</v>
      </c>
      <c r="D1337" s="139">
        <v>44236</v>
      </c>
      <c r="E1337" s="36"/>
      <c r="F1337" s="24"/>
      <c r="G1337" s="90"/>
      <c r="H1337" s="51">
        <f>IF(DAY(H1336)=DAY($H$1325),IF(WEEKDAY(EDATE(H1336,$D$1339),3)&lt;5,EDATE(H1336,$D$1339),WORKDAY(EDATE(H1336,$D$1339),1)),IF(WEEKDAY(EDATE($H$1325,$D$1339*COUNT($H$1325:H1336)),3)&lt;5,EDATE($H$1325,$D$1339*COUNT($H$1325:H1336)),WORKDAY(EDATE($H$1325,$D$1339*COUNT($H$1325:H1336)),1)))</f>
        <v>44236</v>
      </c>
      <c r="I1337" s="137" t="s">
        <v>13</v>
      </c>
      <c r="J1337" s="52">
        <f t="shared" si="120"/>
        <v>1177.1967123287673</v>
      </c>
      <c r="K1337" s="52">
        <f>+IF(OR(I1337="A + C",I1337="A"),$D$1338*$D$1343,0)</f>
        <v>38920</v>
      </c>
      <c r="L1337" s="53">
        <f t="shared" si="121"/>
        <v>0</v>
      </c>
      <c r="M1337" s="94">
        <f t="shared" si="122"/>
        <v>40097.196712328769</v>
      </c>
      <c r="N1337" s="25"/>
    </row>
    <row r="1338" spans="1:15" ht="15.95" customHeight="1" x14ac:dyDescent="0.25">
      <c r="A1338" s="121"/>
      <c r="B1338" s="23"/>
      <c r="C1338" s="59" t="s">
        <v>27</v>
      </c>
      <c r="D1338" s="140">
        <v>350000</v>
      </c>
      <c r="E1338" s="43"/>
      <c r="F1338" s="24"/>
      <c r="G1338" s="90"/>
      <c r="H1338" s="54"/>
      <c r="I1338" s="144"/>
      <c r="J1338" s="55"/>
      <c r="K1338" s="56"/>
      <c r="L1338" s="57"/>
      <c r="M1338" s="95"/>
      <c r="N1338" s="25"/>
    </row>
    <row r="1339" spans="1:15" ht="15.95" customHeight="1" x14ac:dyDescent="0.25">
      <c r="A1339" s="121"/>
      <c r="B1339" s="23"/>
      <c r="C1339" s="59" t="s">
        <v>26</v>
      </c>
      <c r="D1339" s="140">
        <v>3</v>
      </c>
      <c r="E1339" s="43"/>
      <c r="F1339" s="24"/>
      <c r="G1339" s="90"/>
      <c r="H1339" s="24"/>
      <c r="I1339" s="24"/>
      <c r="J1339" s="24"/>
      <c r="K1339" s="24"/>
      <c r="L1339" s="24"/>
      <c r="M1339" s="24"/>
      <c r="N1339" s="25"/>
    </row>
    <row r="1340" spans="1:15" ht="15.95" customHeight="1" x14ac:dyDescent="0.25">
      <c r="A1340" s="121"/>
      <c r="B1340" s="23"/>
      <c r="C1340" s="59" t="s">
        <v>19</v>
      </c>
      <c r="D1340" s="141" t="s">
        <v>50</v>
      </c>
      <c r="E1340" s="43"/>
      <c r="F1340" s="24"/>
      <c r="G1340" s="90"/>
      <c r="H1340" s="680" t="s">
        <v>43</v>
      </c>
      <c r="I1340" s="680"/>
      <c r="J1340" s="92">
        <v>0</v>
      </c>
      <c r="K1340" s="92"/>
      <c r="L1340" s="24"/>
      <c r="M1340" s="24"/>
      <c r="N1340" s="25"/>
    </row>
    <row r="1341" spans="1:15" ht="20.100000000000001" customHeight="1" x14ac:dyDescent="0.25">
      <c r="A1341" s="121"/>
      <c r="B1341" s="23"/>
      <c r="C1341" s="59" t="s">
        <v>14</v>
      </c>
      <c r="D1341" s="142">
        <v>0.12</v>
      </c>
      <c r="E1341" s="44"/>
      <c r="F1341" s="24"/>
      <c r="G1341" s="90"/>
      <c r="H1341" s="24"/>
      <c r="I1341" s="24"/>
      <c r="J1341" s="24"/>
      <c r="K1341" s="24"/>
      <c r="L1341" s="33"/>
      <c r="M1341" s="33"/>
      <c r="N1341" s="25"/>
    </row>
    <row r="1342" spans="1:15" ht="15.95" customHeight="1" x14ac:dyDescent="0.25">
      <c r="A1342" s="121"/>
      <c r="B1342" s="23"/>
      <c r="C1342" s="59" t="s">
        <v>225</v>
      </c>
      <c r="D1342" s="142">
        <v>0.1111</v>
      </c>
      <c r="E1342" s="24"/>
      <c r="F1342" s="24"/>
      <c r="G1342" s="90"/>
      <c r="H1342" s="24"/>
      <c r="I1342" s="24"/>
      <c r="J1342" s="24"/>
      <c r="K1342" s="24"/>
      <c r="L1342" s="24"/>
      <c r="M1342" s="24"/>
      <c r="N1342" s="25"/>
    </row>
    <row r="1343" spans="1:15" ht="15.95" customHeight="1" x14ac:dyDescent="0.25">
      <c r="A1343" s="121"/>
      <c r="B1343" s="23"/>
      <c r="C1343" s="59" t="s">
        <v>256</v>
      </c>
      <c r="D1343" s="142">
        <v>0.11119999999999999</v>
      </c>
      <c r="E1343" s="24"/>
      <c r="F1343" s="24"/>
      <c r="G1343" s="90"/>
      <c r="H1343" s="638" t="s">
        <v>44</v>
      </c>
      <c r="I1343" s="639"/>
      <c r="J1343" s="639"/>
      <c r="K1343" s="639"/>
      <c r="L1343" s="639"/>
      <c r="M1343" s="640"/>
      <c r="N1343" s="25"/>
      <c r="O1343" s="194" t="str">
        <f>+D1494</f>
        <v>ON Pyme CNV Garantizada</v>
      </c>
    </row>
    <row r="1344" spans="1:15" ht="15.95" customHeight="1" x14ac:dyDescent="0.25">
      <c r="A1344" s="121"/>
      <c r="B1344" s="23"/>
      <c r="C1344" s="63"/>
      <c r="D1344" s="145"/>
      <c r="E1344" s="24"/>
      <c r="F1344" s="24"/>
      <c r="G1344" s="90"/>
      <c r="H1344" s="23"/>
      <c r="I1344" s="24"/>
      <c r="J1344" s="24"/>
      <c r="K1344" s="24"/>
      <c r="L1344" s="24"/>
      <c r="M1344" s="25"/>
      <c r="N1344" s="25"/>
    </row>
    <row r="1345" spans="1:16" ht="15.95" customHeight="1" x14ac:dyDescent="0.25">
      <c r="A1345" s="121"/>
      <c r="B1345" s="23"/>
      <c r="C1345" s="24"/>
      <c r="D1345" s="24"/>
      <c r="E1345" s="24"/>
      <c r="F1345" s="24"/>
      <c r="G1345" s="90"/>
      <c r="H1345" s="23"/>
      <c r="I1345" s="24"/>
      <c r="J1345" s="24"/>
      <c r="K1345" s="24"/>
      <c r="L1345" s="24"/>
      <c r="M1345" s="25"/>
      <c r="N1345" s="25"/>
      <c r="O1345" s="194" t="str">
        <f>+IF(J1492="vencida",IF(D1494='Reporte - Oscuro'!$C$40,'Reporte - Oscuro'!$C$40&amp;" vencida",IF(D1494='Reporte - Oscuro'!$C$41,'Reporte - Oscuro'!$C$41&amp;" vencida",IF(D1494='Reporte - Oscuro'!$C$42,'Reporte - Oscuro'!$C$42&amp;" vencida",'Reporte - Oscuro'!$C$43&amp;" vencida"))),D1494&amp;" vigente")</f>
        <v>ON Pyme CNV Garantizada vencida</v>
      </c>
    </row>
    <row r="1346" spans="1:16" ht="15.95" customHeight="1" x14ac:dyDescent="0.25">
      <c r="A1346" s="121"/>
      <c r="B1346" s="23"/>
      <c r="C1346" s="24"/>
      <c r="D1346" s="24"/>
      <c r="E1346" s="24"/>
      <c r="F1346" s="24"/>
      <c r="G1346" s="90"/>
      <c r="H1346" s="96"/>
      <c r="I1346" s="35"/>
      <c r="J1346" s="24"/>
      <c r="K1346" s="24"/>
      <c r="L1346" s="24"/>
      <c r="M1346" s="25"/>
      <c r="N1346" s="25"/>
    </row>
    <row r="1347" spans="1:16" ht="15.95" customHeight="1" x14ac:dyDescent="0.25">
      <c r="A1347" s="121"/>
      <c r="B1347" s="23"/>
      <c r="C1347" s="24"/>
      <c r="D1347" s="24"/>
      <c r="E1347" s="24"/>
      <c r="F1347" s="24"/>
      <c r="G1347" s="90"/>
      <c r="H1347" s="23"/>
      <c r="I1347" s="24"/>
      <c r="J1347" s="24"/>
      <c r="K1347" s="24"/>
      <c r="L1347" s="24"/>
      <c r="M1347" s="25"/>
      <c r="N1347" s="25"/>
    </row>
    <row r="1348" spans="1:16" ht="15.95" customHeight="1" x14ac:dyDescent="0.25">
      <c r="A1348" s="121"/>
      <c r="B1348" s="23"/>
      <c r="C1348" s="24"/>
      <c r="D1348" s="24"/>
      <c r="E1348" s="24"/>
      <c r="F1348" s="24"/>
      <c r="G1348" s="90"/>
      <c r="H1348" s="23"/>
      <c r="I1348" s="24"/>
      <c r="J1348" s="24"/>
      <c r="K1348" s="24"/>
      <c r="L1348" s="24"/>
      <c r="M1348" s="25"/>
      <c r="N1348" s="25"/>
    </row>
    <row r="1349" spans="1:16" ht="15.95" customHeight="1" x14ac:dyDescent="0.25">
      <c r="A1349" s="121"/>
      <c r="B1349" s="23"/>
      <c r="C1349" s="24"/>
      <c r="D1349" s="24"/>
      <c r="E1349" s="24"/>
      <c r="F1349" s="24"/>
      <c r="G1349" s="90"/>
      <c r="H1349" s="23"/>
      <c r="I1349" s="24"/>
      <c r="J1349" s="24"/>
      <c r="K1349" s="24"/>
      <c r="L1349" s="24"/>
      <c r="M1349" s="25"/>
      <c r="N1349" s="25"/>
    </row>
    <row r="1350" spans="1:16" ht="15.95" customHeight="1" x14ac:dyDescent="0.25">
      <c r="A1350" s="121"/>
      <c r="B1350" s="23"/>
      <c r="C1350" s="24"/>
      <c r="D1350" s="24"/>
      <c r="E1350" s="24"/>
      <c r="F1350" s="24"/>
      <c r="G1350" s="90"/>
      <c r="H1350" s="23"/>
      <c r="I1350" s="24"/>
      <c r="J1350" s="24"/>
      <c r="K1350" s="24"/>
      <c r="L1350" s="24"/>
      <c r="M1350" s="25"/>
      <c r="N1350" s="25"/>
      <c r="O1350" s="97">
        <f>+M1497</f>
        <v>-150000</v>
      </c>
    </row>
    <row r="1351" spans="1:16" ht="15.95" customHeight="1" x14ac:dyDescent="0.25">
      <c r="A1351" s="121"/>
      <c r="B1351" s="23"/>
      <c r="C1351" s="24"/>
      <c r="D1351" s="24"/>
      <c r="E1351" s="24"/>
      <c r="F1351" s="24"/>
      <c r="G1351" s="90"/>
      <c r="H1351" s="23"/>
      <c r="I1351" s="24"/>
      <c r="J1351" s="24"/>
      <c r="K1351" s="24"/>
      <c r="L1351" s="24"/>
      <c r="M1351" s="25"/>
      <c r="N1351" s="25"/>
      <c r="O1351" s="97">
        <f t="shared" ref="O1351:O1356" si="124">+M1498+O1350</f>
        <v>-117742.60273972603</v>
      </c>
    </row>
    <row r="1352" spans="1:16" ht="15.95" customHeight="1" x14ac:dyDescent="0.25">
      <c r="A1352" s="121"/>
      <c r="B1352" s="23"/>
      <c r="C1352" s="24"/>
      <c r="D1352" s="24"/>
      <c r="E1352" s="24"/>
      <c r="F1352" s="24"/>
      <c r="G1352" s="90"/>
      <c r="H1352" s="23"/>
      <c r="I1352" s="24"/>
      <c r="J1352" s="24"/>
      <c r="K1352" s="24"/>
      <c r="L1352" s="24"/>
      <c r="M1352" s="25"/>
      <c r="N1352" s="25"/>
      <c r="O1352" s="97">
        <f t="shared" si="124"/>
        <v>-86594.012876712339</v>
      </c>
    </row>
    <row r="1353" spans="1:16" ht="15.95" customHeight="1" x14ac:dyDescent="0.25">
      <c r="A1353" s="121"/>
      <c r="B1353" s="23"/>
      <c r="C1353" s="24"/>
      <c r="D1353" s="24"/>
      <c r="E1353" s="24"/>
      <c r="F1353" s="24"/>
      <c r="G1353" s="90"/>
      <c r="H1353" s="23"/>
      <c r="I1353" s="24"/>
      <c r="J1353" s="24"/>
      <c r="K1353" s="24"/>
      <c r="L1353" s="24"/>
      <c r="M1353" s="25"/>
      <c r="N1353" s="25"/>
      <c r="O1353" s="97">
        <f t="shared" si="124"/>
        <v>-56727.855205479464</v>
      </c>
    </row>
    <row r="1354" spans="1:16" ht="15.95" customHeight="1" x14ac:dyDescent="0.25">
      <c r="A1354" s="121"/>
      <c r="B1354" s="23"/>
      <c r="C1354" s="24"/>
      <c r="D1354" s="24"/>
      <c r="E1354" s="24"/>
      <c r="F1354" s="24"/>
      <c r="G1354" s="90"/>
      <c r="H1354" s="23"/>
      <c r="I1354" s="24"/>
      <c r="J1354" s="24"/>
      <c r="K1354" s="24"/>
      <c r="L1354" s="24"/>
      <c r="M1354" s="25"/>
      <c r="N1354" s="25"/>
      <c r="O1354" s="97">
        <f t="shared" si="124"/>
        <v>-28037.291095890425</v>
      </c>
    </row>
    <row r="1355" spans="1:16" ht="15.95" customHeight="1" x14ac:dyDescent="0.25">
      <c r="A1355" s="121"/>
      <c r="B1355" s="23"/>
      <c r="C1355" s="24"/>
      <c r="D1355" s="24"/>
      <c r="E1355" s="24"/>
      <c r="F1355" s="24"/>
      <c r="G1355" s="90"/>
      <c r="H1355" s="26"/>
      <c r="I1355" s="27"/>
      <c r="J1355" s="27"/>
      <c r="K1355" s="27"/>
      <c r="L1355" s="27"/>
      <c r="M1355" s="28"/>
      <c r="N1355" s="25"/>
      <c r="O1355" s="97">
        <f t="shared" si="124"/>
        <v>-630.7923287671365</v>
      </c>
      <c r="P1355" s="29"/>
    </row>
    <row r="1356" spans="1:16" ht="15.95" customHeight="1" x14ac:dyDescent="0.25">
      <c r="A1356" s="121"/>
      <c r="B1356" s="26"/>
      <c r="C1356" s="85"/>
      <c r="D1356" s="27"/>
      <c r="E1356" s="27"/>
      <c r="F1356" s="27"/>
      <c r="G1356" s="91"/>
      <c r="H1356" s="27"/>
      <c r="I1356" s="27"/>
      <c r="J1356" s="27"/>
      <c r="K1356" s="27"/>
      <c r="L1356" s="27"/>
      <c r="M1356" s="27"/>
      <c r="N1356" s="28"/>
      <c r="O1356" s="97">
        <f t="shared" si="124"/>
        <v>25587.483287671221</v>
      </c>
      <c r="P1356" s="29"/>
    </row>
    <row r="1357" spans="1:16" ht="15.95" customHeight="1" x14ac:dyDescent="0.25">
      <c r="A1357" s="121"/>
      <c r="B1357" s="23"/>
      <c r="C1357" s="24"/>
      <c r="D1357" s="24"/>
      <c r="E1357" s="24"/>
      <c r="F1357" s="24"/>
      <c r="G1357" s="24"/>
      <c r="H1357" s="24"/>
      <c r="I1357" s="24"/>
      <c r="J1357" s="24"/>
      <c r="K1357" s="24"/>
      <c r="L1357" s="24"/>
      <c r="M1357" s="24"/>
      <c r="N1357" s="25"/>
    </row>
    <row r="1358" spans="1:16" ht="15.95" customHeight="1" x14ac:dyDescent="0.25">
      <c r="A1358" s="121"/>
      <c r="B1358" s="683" t="s">
        <v>202</v>
      </c>
      <c r="C1358" s="684"/>
      <c r="D1358" s="684"/>
      <c r="E1358" s="684"/>
      <c r="F1358" s="684"/>
      <c r="G1358" s="684"/>
      <c r="H1358" s="684"/>
      <c r="I1358" s="684"/>
      <c r="J1358" s="684"/>
      <c r="K1358" s="684"/>
      <c r="L1358" s="684"/>
      <c r="M1358" s="684"/>
      <c r="N1358" s="685"/>
      <c r="P1358" s="29"/>
    </row>
    <row r="1359" spans="1:16" ht="15.95" customHeight="1" x14ac:dyDescent="0.25">
      <c r="A1359" s="121"/>
      <c r="B1359" s="23"/>
      <c r="C1359" s="24"/>
      <c r="D1359" s="24"/>
      <c r="E1359" s="24"/>
      <c r="F1359" s="31"/>
      <c r="G1359" s="87"/>
      <c r="H1359" s="31"/>
      <c r="I1359" s="31"/>
      <c r="J1359" s="24"/>
      <c r="K1359" s="24"/>
      <c r="L1359" s="24"/>
      <c r="M1359" s="24"/>
      <c r="N1359" s="25"/>
      <c r="P1359" s="29"/>
    </row>
    <row r="1360" spans="1:16" ht="15.95" customHeight="1" x14ac:dyDescent="0.25">
      <c r="A1360" s="121"/>
      <c r="B1360" s="23"/>
      <c r="C1360" s="638" t="s">
        <v>37</v>
      </c>
      <c r="D1360" s="639"/>
      <c r="E1360" s="640"/>
      <c r="F1360" s="31"/>
      <c r="G1360" s="87"/>
      <c r="H1360" s="641" t="s">
        <v>28</v>
      </c>
      <c r="I1360" s="642"/>
      <c r="J1360" s="39">
        <f>+$D$1382-SUMIF($H$1366:$H$1380,"&lt;"&amp;$M$4,$K$1366:$K$1380)</f>
        <v>0</v>
      </c>
      <c r="K1360" s="24"/>
      <c r="L1360" s="24"/>
      <c r="M1360" s="24"/>
      <c r="N1360" s="25"/>
    </row>
    <row r="1361" spans="1:14" ht="15.95" customHeight="1" x14ac:dyDescent="0.25">
      <c r="A1361" s="121"/>
      <c r="B1361" s="23"/>
      <c r="C1361" s="58"/>
      <c r="D1361" s="664"/>
      <c r="E1361" s="665"/>
      <c r="F1361" s="31"/>
      <c r="G1361" s="87"/>
      <c r="H1361" s="645" t="s">
        <v>29</v>
      </c>
      <c r="I1361" s="646"/>
      <c r="J1361" s="40">
        <f>+$D$1381</f>
        <v>44264</v>
      </c>
      <c r="K1361" s="24"/>
      <c r="L1361" s="24"/>
      <c r="M1361" s="24"/>
      <c r="N1361" s="25"/>
    </row>
    <row r="1362" spans="1:14" ht="15.95" customHeight="1" x14ac:dyDescent="0.25">
      <c r="A1362" s="121"/>
      <c r="B1362" s="23"/>
      <c r="C1362" s="59" t="s">
        <v>25</v>
      </c>
      <c r="D1362" s="681"/>
      <c r="E1362" s="682"/>
      <c r="F1362" s="31"/>
      <c r="G1362" s="87"/>
      <c r="H1362" s="649" t="s">
        <v>30</v>
      </c>
      <c r="I1362" s="650"/>
      <c r="J1362" s="42" t="str">
        <f t="array" ref="J1362">+IF($H1379&gt;=$M$4,MIN(IF($H$1366:$H1380&gt;$M$4,$H$1366:$H1380,"")),"vencida")</f>
        <v>vencida</v>
      </c>
      <c r="K1362" s="24"/>
      <c r="L1362" s="24"/>
      <c r="M1362" s="24"/>
      <c r="N1362" s="25"/>
    </row>
    <row r="1363" spans="1:14" ht="15.95" customHeight="1" x14ac:dyDescent="0.25">
      <c r="A1363" s="121"/>
      <c r="B1363" s="23"/>
      <c r="C1363" s="59" t="s">
        <v>6</v>
      </c>
      <c r="D1363" s="681" t="s">
        <v>255</v>
      </c>
      <c r="E1363" s="682"/>
      <c r="F1363" s="31"/>
      <c r="G1363" s="87"/>
      <c r="H1363" s="24"/>
      <c r="I1363" s="24"/>
      <c r="J1363" s="24"/>
      <c r="K1363" s="24"/>
      <c r="L1363" s="24"/>
      <c r="M1363" s="24"/>
      <c r="N1363" s="25"/>
    </row>
    <row r="1364" spans="1:14" ht="15.95" customHeight="1" x14ac:dyDescent="0.25">
      <c r="A1364" s="121"/>
      <c r="B1364" s="23"/>
      <c r="C1364" s="59" t="s">
        <v>8</v>
      </c>
      <c r="D1364" s="681" t="s">
        <v>17</v>
      </c>
      <c r="E1364" s="682"/>
      <c r="F1364" s="31"/>
      <c r="G1364" s="87"/>
      <c r="H1364" s="651" t="s">
        <v>41</v>
      </c>
      <c r="I1364" s="652"/>
      <c r="J1364" s="652"/>
      <c r="K1364" s="652"/>
      <c r="L1364" s="653"/>
      <c r="M1364" s="24"/>
      <c r="N1364" s="25"/>
    </row>
    <row r="1365" spans="1:14" ht="15.95" customHeight="1" x14ac:dyDescent="0.25">
      <c r="A1365" s="121"/>
      <c r="B1365" s="23"/>
      <c r="C1365" s="59" t="s">
        <v>33</v>
      </c>
      <c r="D1365" s="132" t="s">
        <v>325</v>
      </c>
      <c r="E1365" s="274">
        <v>0.28410000000000002</v>
      </c>
      <c r="F1365" s="281">
        <f>+E1365*$J$1360</f>
        <v>0</v>
      </c>
      <c r="G1365" s="87"/>
      <c r="H1365" s="126" t="s">
        <v>0</v>
      </c>
      <c r="I1365" s="127" t="s">
        <v>2</v>
      </c>
      <c r="J1365" s="127" t="s">
        <v>3</v>
      </c>
      <c r="K1365" s="127" t="s">
        <v>4</v>
      </c>
      <c r="L1365" s="128" t="s">
        <v>5</v>
      </c>
      <c r="M1365" s="127" t="s">
        <v>44</v>
      </c>
      <c r="N1365" s="25"/>
    </row>
    <row r="1366" spans="1:14" ht="15.95" customHeight="1" x14ac:dyDescent="0.25">
      <c r="A1366" s="121"/>
      <c r="B1366" s="23"/>
      <c r="C1366" s="59" t="s">
        <v>33</v>
      </c>
      <c r="D1366" s="132" t="s">
        <v>287</v>
      </c>
      <c r="E1366" s="274">
        <v>0.3977</v>
      </c>
      <c r="F1366" s="281">
        <f>+E1366*$J$1360</f>
        <v>0</v>
      </c>
      <c r="G1366" s="87"/>
      <c r="H1366" s="45"/>
      <c r="I1366" s="46"/>
      <c r="J1366" s="46"/>
      <c r="K1366" s="46"/>
      <c r="L1366" s="47"/>
      <c r="M1366" s="23"/>
      <c r="N1366" s="25"/>
    </row>
    <row r="1367" spans="1:14" ht="15.95" customHeight="1" x14ac:dyDescent="0.25">
      <c r="A1367" s="121"/>
      <c r="B1367" s="23"/>
      <c r="C1367" s="59" t="s">
        <v>33</v>
      </c>
      <c r="D1367" s="132" t="s">
        <v>297</v>
      </c>
      <c r="E1367" s="274">
        <v>0.31819999999999998</v>
      </c>
      <c r="F1367" s="281">
        <f>+E1367*$J$1360</f>
        <v>0</v>
      </c>
      <c r="G1367" s="87"/>
      <c r="H1367" s="48">
        <f>+$D$1380</f>
        <v>43168</v>
      </c>
      <c r="I1367" s="136"/>
      <c r="J1367" s="49"/>
      <c r="K1367" s="49"/>
      <c r="L1367" s="50">
        <f>+D1382</f>
        <v>880000</v>
      </c>
      <c r="M1367" s="93">
        <f>-L1367</f>
        <v>-880000</v>
      </c>
      <c r="N1367" s="25"/>
    </row>
    <row r="1368" spans="1:14" ht="15.95" customHeight="1" x14ac:dyDescent="0.25">
      <c r="A1368" s="121"/>
      <c r="B1368" s="23"/>
      <c r="C1368" s="59" t="s">
        <v>34</v>
      </c>
      <c r="D1368" s="681" t="s">
        <v>35</v>
      </c>
      <c r="E1368" s="682"/>
      <c r="F1368" s="31"/>
      <c r="G1368" s="87"/>
      <c r="H1368" s="51">
        <f>IF(DAY(H1367)=DAY($H$1367),IF(WEEKDAY(EDATE(H1367,$D$1383),3)&lt;5,EDATE(H1367,$D$1383),WORKDAY(EDATE(H1367,$D$1383),1)),IF(WEEKDAY(EDATE($H$1367,$D$1383*COUNT($H$1367:H1367)),3)&lt;5,EDATE($H$1367,$D$1383*COUNT($H$1367:H1367)),WORKDAY(EDATE($H$1367,$D$1383*COUNT($H$1367:H1367)),1)))</f>
        <v>43262</v>
      </c>
      <c r="I1368" s="137" t="s">
        <v>7</v>
      </c>
      <c r="J1368" s="52">
        <f t="shared" ref="J1368:J1379" si="125">+(($D$1385/365)*(H1368-H1367))*L1367</f>
        <v>17563.835616438359</v>
      </c>
      <c r="K1368" s="52">
        <f>+IF(OR(I1368="A + C",I1368="A"),$L$1367*$D$1386,0)</f>
        <v>0</v>
      </c>
      <c r="L1368" s="53">
        <f t="shared" ref="L1368:L1379" si="126">+L1367-K1368</f>
        <v>880000</v>
      </c>
      <c r="M1368" s="94">
        <f t="shared" ref="M1368:M1379" si="127">+J1368+K1368</f>
        <v>17563.835616438359</v>
      </c>
      <c r="N1368" s="25"/>
    </row>
    <row r="1369" spans="1:14" ht="15.95" customHeight="1" x14ac:dyDescent="0.25">
      <c r="A1369" s="121"/>
      <c r="B1369" s="23"/>
      <c r="C1369" s="79" t="s">
        <v>38</v>
      </c>
      <c r="D1369" s="130"/>
      <c r="E1369" s="131"/>
      <c r="F1369" s="34"/>
      <c r="G1369" s="88"/>
      <c r="H1369" s="51">
        <f>IF(DAY(H1368)=DAY($H$1367),IF(WEEKDAY(EDATE(H1368,$D$1383),3)&lt;5,EDATE(H1368,$D$1383),WORKDAY(EDATE(H1368,$D$1383),1)),IF(WEEKDAY(EDATE($H$1367,$D$1383*COUNT($H$1367:H1368)),3)&lt;5,EDATE($H$1367,$D$1383*COUNT($H$1367:H1368)),WORKDAY(EDATE($H$1367,$D$1383*COUNT($H$1367:H1368)),1)))</f>
        <v>43353</v>
      </c>
      <c r="I1369" s="137" t="s">
        <v>7</v>
      </c>
      <c r="J1369" s="52">
        <f t="shared" si="125"/>
        <v>17003.28767123288</v>
      </c>
      <c r="K1369" s="52">
        <f t="shared" ref="K1369:K1378" si="128">+IF(OR(I1369="A + C",I1369="A"),$D$1382*$D$1386,0)</f>
        <v>0</v>
      </c>
      <c r="L1369" s="53">
        <f t="shared" si="126"/>
        <v>880000</v>
      </c>
      <c r="M1369" s="94">
        <f t="shared" si="127"/>
        <v>17003.28767123288</v>
      </c>
      <c r="N1369" s="25"/>
    </row>
    <row r="1370" spans="1:14" ht="15.95" customHeight="1" x14ac:dyDescent="0.25">
      <c r="A1370" s="121"/>
      <c r="B1370" s="23"/>
      <c r="C1370" s="59"/>
      <c r="D1370" s="132"/>
      <c r="E1370" s="133"/>
      <c r="F1370" s="34"/>
      <c r="G1370" s="88"/>
      <c r="H1370" s="51">
        <f>IF(DAY(H1369)=DAY($H$1367),IF(WEEKDAY(EDATE(H1369,$D$1383),3)&lt;5,EDATE(H1369,$D$1383),WORKDAY(EDATE(H1369,$D$1383),1)),IF(WEEKDAY(EDATE($H$1367,$D$1383*COUNT($H$1367:H1369)),3)&lt;5,EDATE($H$1367,$D$1383*COUNT($H$1367:H1369)),WORKDAY(EDATE($H$1367,$D$1383*COUNT($H$1367:H1369)),1)))</f>
        <v>43444</v>
      </c>
      <c r="I1370" s="137" t="s">
        <v>7</v>
      </c>
      <c r="J1370" s="52">
        <f t="shared" si="125"/>
        <v>17003.28767123288</v>
      </c>
      <c r="K1370" s="52">
        <f t="shared" si="128"/>
        <v>0</v>
      </c>
      <c r="L1370" s="53">
        <f t="shared" si="126"/>
        <v>880000</v>
      </c>
      <c r="M1370" s="94">
        <f t="shared" si="127"/>
        <v>17003.28767123288</v>
      </c>
      <c r="N1370" s="25"/>
    </row>
    <row r="1371" spans="1:14" ht="15.95" customHeight="1" x14ac:dyDescent="0.25">
      <c r="A1371" s="121"/>
      <c r="B1371" s="32"/>
      <c r="C1371" s="60"/>
      <c r="D1371" s="134"/>
      <c r="E1371" s="135"/>
      <c r="F1371" s="34"/>
      <c r="G1371" s="88"/>
      <c r="H1371" s="51">
        <f>IF(DAY(H1370)=DAY($H$1367),IF(WEEKDAY(EDATE(H1370,$D$1383),3)&lt;5,EDATE(H1370,$D$1383),WORKDAY(EDATE(H1370,$D$1383),1)),IF(WEEKDAY(EDATE($H$1367,$D$1383*COUNT($H$1367:H1370)),3)&lt;5,EDATE($H$1367,$D$1383*COUNT($H$1367:H1370)),WORKDAY(EDATE($H$1367,$D$1383*COUNT($H$1367:H1370)),1)))</f>
        <v>43535</v>
      </c>
      <c r="I1371" s="137" t="s">
        <v>13</v>
      </c>
      <c r="J1371" s="52">
        <f t="shared" si="125"/>
        <v>17003.28767123288</v>
      </c>
      <c r="K1371" s="52">
        <f t="shared" si="128"/>
        <v>97768</v>
      </c>
      <c r="L1371" s="53">
        <f t="shared" si="126"/>
        <v>782232</v>
      </c>
      <c r="M1371" s="94">
        <f t="shared" si="127"/>
        <v>114771.28767123289</v>
      </c>
      <c r="N1371" s="25"/>
    </row>
    <row r="1372" spans="1:14" ht="15.95" customHeight="1" x14ac:dyDescent="0.25">
      <c r="A1372" s="121"/>
      <c r="B1372" s="23"/>
      <c r="C1372" s="60"/>
      <c r="D1372" s="275" t="str">
        <f>B1358</f>
        <v>Maxisur II</v>
      </c>
      <c r="E1372" s="276"/>
      <c r="F1372" s="34"/>
      <c r="G1372" s="88">
        <f>J1360</f>
        <v>0</v>
      </c>
      <c r="H1372" s="51">
        <f>IF(DAY(H1371)=DAY($H$1367),IF(WEEKDAY(EDATE(H1371,$D$1383),3)&lt;5,EDATE(H1371,$D$1383),WORKDAY(EDATE(H1371,$D$1383),1)),IF(WEEKDAY(EDATE($H$1367,$D$1383*COUNT($H$1367:H1371)),3)&lt;5,EDATE($H$1367,$D$1383*COUNT($H$1367:H1371)),WORKDAY(EDATE($H$1367,$D$1383*COUNT($H$1367:H1371)),1)))</f>
        <v>43626</v>
      </c>
      <c r="I1372" s="137" t="s">
        <v>13</v>
      </c>
      <c r="J1372" s="52">
        <f t="shared" si="125"/>
        <v>15114.222410958906</v>
      </c>
      <c r="K1372" s="52">
        <f t="shared" si="128"/>
        <v>97768</v>
      </c>
      <c r="L1372" s="53">
        <f t="shared" si="126"/>
        <v>684464</v>
      </c>
      <c r="M1372" s="94">
        <f t="shared" si="127"/>
        <v>112882.2224109589</v>
      </c>
      <c r="N1372" s="25"/>
    </row>
    <row r="1373" spans="1:14" ht="15.95" customHeight="1" x14ac:dyDescent="0.25">
      <c r="A1373" s="121"/>
      <c r="B1373" s="23"/>
      <c r="D1373" s="277"/>
      <c r="E1373" s="277"/>
      <c r="F1373" s="36"/>
      <c r="G1373" s="89"/>
      <c r="H1373" s="51">
        <f>IF(DAY(H1372)=DAY($H$1367),IF(WEEKDAY(EDATE(H1372,$D$1383),3)&lt;5,EDATE(H1372,$D$1383),WORKDAY(EDATE(H1372,$D$1383),1)),IF(WEEKDAY(EDATE($H$1367,$D$1383*COUNT($H$1367:H1372)),3)&lt;5,EDATE($H$1367,$D$1383*COUNT($H$1367:H1372)),WORKDAY(EDATE($H$1367,$D$1383*COUNT($H$1367:H1372)),1)))</f>
        <v>43717</v>
      </c>
      <c r="I1373" s="137" t="s">
        <v>13</v>
      </c>
      <c r="J1373" s="52">
        <f t="shared" si="125"/>
        <v>13225.157150684932</v>
      </c>
      <c r="K1373" s="52">
        <f t="shared" si="128"/>
        <v>97768</v>
      </c>
      <c r="L1373" s="53">
        <f t="shared" si="126"/>
        <v>586696</v>
      </c>
      <c r="M1373" s="94">
        <f t="shared" si="127"/>
        <v>110993.15715068493</v>
      </c>
      <c r="N1373" s="25"/>
    </row>
    <row r="1374" spans="1:14" ht="15.95" customHeight="1" x14ac:dyDescent="0.25">
      <c r="A1374" s="121"/>
      <c r="B1374" s="23"/>
      <c r="C1374" s="638" t="s">
        <v>36</v>
      </c>
      <c r="D1374" s="640"/>
      <c r="E1374" s="36"/>
      <c r="F1374" s="36"/>
      <c r="G1374" s="89"/>
      <c r="H1374" s="51">
        <f>IF(DAY(H1373)=DAY($H$1367),IF(WEEKDAY(EDATE(H1373,$D$1383),3)&lt;5,EDATE(H1373,$D$1383),WORKDAY(EDATE(H1373,$D$1383),1)),IF(WEEKDAY(EDATE($H$1367,$D$1383*COUNT($H$1367:H1373)),3)&lt;5,EDATE($H$1367,$D$1383*COUNT($H$1367:H1373)),WORKDAY(EDATE($H$1367,$D$1383*COUNT($H$1367:H1373)),1)))</f>
        <v>43808</v>
      </c>
      <c r="I1374" s="137" t="s">
        <v>13</v>
      </c>
      <c r="J1374" s="52">
        <f t="shared" si="125"/>
        <v>11336.09189041096</v>
      </c>
      <c r="K1374" s="52">
        <f t="shared" si="128"/>
        <v>97768</v>
      </c>
      <c r="L1374" s="53">
        <f t="shared" si="126"/>
        <v>488928</v>
      </c>
      <c r="M1374" s="94">
        <f t="shared" si="127"/>
        <v>109104.09189041096</v>
      </c>
      <c r="N1374" s="25"/>
    </row>
    <row r="1375" spans="1:14" ht="15.95" customHeight="1" x14ac:dyDescent="0.25">
      <c r="A1375" s="121"/>
      <c r="B1375" s="23"/>
      <c r="C1375" s="59"/>
      <c r="D1375" s="62"/>
      <c r="E1375" s="36"/>
      <c r="F1375" s="36"/>
      <c r="G1375" s="89"/>
      <c r="H1375" s="51">
        <f>IF(DAY(H1374)=DAY($H$1367),IF(WEEKDAY(EDATE(H1374,$D$1383),3)&lt;5,EDATE(H1374,$D$1383),WORKDAY(EDATE(H1374,$D$1383),1)),IF(WEEKDAY(EDATE($H$1367,$D$1383*COUNT($H$1367:H1374)),3)&lt;5,EDATE($H$1367,$D$1383*COUNT($H$1367:H1374)),WORKDAY(EDATE($H$1367,$D$1383*COUNT($H$1367:H1374)),1)))</f>
        <v>43899</v>
      </c>
      <c r="I1375" s="137" t="s">
        <v>13</v>
      </c>
      <c r="J1375" s="52">
        <f t="shared" si="125"/>
        <v>9447.0266301369866</v>
      </c>
      <c r="K1375" s="52">
        <f t="shared" si="128"/>
        <v>97768</v>
      </c>
      <c r="L1375" s="53">
        <f t="shared" si="126"/>
        <v>391160</v>
      </c>
      <c r="M1375" s="94">
        <f t="shared" si="127"/>
        <v>107215.02663013698</v>
      </c>
      <c r="N1375" s="25"/>
    </row>
    <row r="1376" spans="1:14" ht="15.95" customHeight="1" x14ac:dyDescent="0.25">
      <c r="A1376" s="121"/>
      <c r="B1376" s="23"/>
      <c r="C1376" s="59" t="s">
        <v>9</v>
      </c>
      <c r="D1376" s="129" t="s">
        <v>49</v>
      </c>
      <c r="E1376" s="36"/>
      <c r="F1376" s="36"/>
      <c r="G1376" s="89"/>
      <c r="H1376" s="51">
        <f>IF(DAY(H1375)=DAY($H$1367),IF(WEEKDAY(EDATE(H1375,$D$1383),3)&lt;5,EDATE(H1375,$D$1383),WORKDAY(EDATE(H1375,$D$1383),1)),IF(WEEKDAY(EDATE($H$1367,$D$1383*COUNT($H$1367:H1375)),3)&lt;5,EDATE($H$1367,$D$1383*COUNT($H$1367:H1375)),WORKDAY(EDATE($H$1367,$D$1383*COUNT($H$1367:H1375)),1)))</f>
        <v>43991</v>
      </c>
      <c r="I1376" s="137" t="s">
        <v>13</v>
      </c>
      <c r="J1376" s="52">
        <f t="shared" si="125"/>
        <v>7641.0158904109594</v>
      </c>
      <c r="K1376" s="52">
        <f t="shared" si="128"/>
        <v>97768</v>
      </c>
      <c r="L1376" s="53">
        <f t="shared" si="126"/>
        <v>293392</v>
      </c>
      <c r="M1376" s="94">
        <f t="shared" si="127"/>
        <v>105409.01589041096</v>
      </c>
      <c r="N1376" s="25"/>
    </row>
    <row r="1377" spans="1:16" ht="20.100000000000001" customHeight="1" x14ac:dyDescent="0.25">
      <c r="A1377" s="121"/>
      <c r="B1377" s="23"/>
      <c r="C1377" s="59" t="s">
        <v>51</v>
      </c>
      <c r="D1377" s="138" t="s">
        <v>49</v>
      </c>
      <c r="E1377" s="36"/>
      <c r="F1377" s="36"/>
      <c r="G1377" s="89"/>
      <c r="H1377" s="51">
        <f>IF(DAY(H1376)=DAY($H$1367),IF(WEEKDAY(EDATE(H1376,$D$1383),3)&lt;5,EDATE(H1376,$D$1383),WORKDAY(EDATE(H1376,$D$1383),1)),IF(WEEKDAY(EDATE($H$1367,$D$1383*COUNT($H$1367:H1376)),3)&lt;5,EDATE($H$1367,$D$1383*COUNT($H$1367:H1376)),WORKDAY(EDATE($H$1367,$D$1383*COUNT($H$1367:H1376)),1)))</f>
        <v>44083</v>
      </c>
      <c r="I1377" s="137" t="s">
        <v>13</v>
      </c>
      <c r="J1377" s="52">
        <f t="shared" si="125"/>
        <v>5731.1916712328766</v>
      </c>
      <c r="K1377" s="52">
        <f t="shared" si="128"/>
        <v>97768</v>
      </c>
      <c r="L1377" s="53">
        <f t="shared" si="126"/>
        <v>195624</v>
      </c>
      <c r="M1377" s="94">
        <f t="shared" si="127"/>
        <v>103499.19167123288</v>
      </c>
      <c r="N1377" s="25"/>
    </row>
    <row r="1378" spans="1:16" ht="15.95" customHeight="1" x14ac:dyDescent="0.25">
      <c r="A1378" s="121"/>
      <c r="B1378" s="23"/>
      <c r="C1378" s="59" t="s">
        <v>52</v>
      </c>
      <c r="D1378" s="138" t="s">
        <v>49</v>
      </c>
      <c r="E1378" s="36"/>
      <c r="F1378" s="24"/>
      <c r="G1378" s="90"/>
      <c r="H1378" s="51">
        <f>IF(DAY(H1377)=DAY($H$1367),IF(WEEKDAY(EDATE(H1377,$D$1383),3)&lt;5,EDATE(H1377,$D$1383),WORKDAY(EDATE(H1377,$D$1383),1)),IF(WEEKDAY(EDATE($H$1367,$D$1383*COUNT($H$1367:H1377)),3)&lt;5,EDATE($H$1367,$D$1383*COUNT($H$1367:H1377)),WORKDAY(EDATE($H$1367,$D$1383*COUNT($H$1367:H1377)),1)))</f>
        <v>44174</v>
      </c>
      <c r="I1378" s="137" t="s">
        <v>13</v>
      </c>
      <c r="J1378" s="52">
        <f t="shared" si="125"/>
        <v>3779.8308493150689</v>
      </c>
      <c r="K1378" s="52">
        <f t="shared" si="128"/>
        <v>97768</v>
      </c>
      <c r="L1378" s="53">
        <f t="shared" si="126"/>
        <v>97856</v>
      </c>
      <c r="M1378" s="94">
        <f t="shared" si="127"/>
        <v>101547.83084931507</v>
      </c>
      <c r="N1378" s="25"/>
    </row>
    <row r="1379" spans="1:16" ht="15.95" customHeight="1" x14ac:dyDescent="0.25">
      <c r="A1379" s="121"/>
      <c r="B1379" s="23"/>
      <c r="C1379" s="59" t="s">
        <v>10</v>
      </c>
      <c r="D1379" s="139">
        <v>43166</v>
      </c>
      <c r="E1379" s="36"/>
      <c r="F1379" s="24"/>
      <c r="G1379" s="90"/>
      <c r="H1379" s="51">
        <f>IF(DAY(H1378)=DAY($H$1367),IF(WEEKDAY(EDATE(H1378,$D$1383),3)&lt;5,EDATE(H1378,$D$1383),WORKDAY(EDATE(H1378,$D$1383),1)),IF(WEEKDAY(EDATE($H$1367,$D$1383*COUNT($H$1367:H1378)),3)&lt;5,EDATE($H$1367,$D$1383*COUNT($H$1367:H1378)),WORKDAY(EDATE($H$1367,$D$1383*COUNT($H$1367:H1378)),1)))</f>
        <v>44264</v>
      </c>
      <c r="I1379" s="137" t="s">
        <v>13</v>
      </c>
      <c r="J1379" s="52">
        <f t="shared" si="125"/>
        <v>1869.9879452054795</v>
      </c>
      <c r="K1379" s="52">
        <f>+IF(OR(I1379="A + C",I1379="A"),$D$1382*$D$1387,0)</f>
        <v>97856</v>
      </c>
      <c r="L1379" s="53">
        <f t="shared" si="126"/>
        <v>0</v>
      </c>
      <c r="M1379" s="94">
        <f t="shared" si="127"/>
        <v>99725.987945205474</v>
      </c>
      <c r="N1379" s="25"/>
      <c r="O1379" s="194" t="str">
        <f>+D1530</f>
        <v>ON Pyme CNV Garantizada</v>
      </c>
    </row>
    <row r="1380" spans="1:16" ht="15.95" customHeight="1" x14ac:dyDescent="0.25">
      <c r="A1380" s="121"/>
      <c r="B1380" s="23"/>
      <c r="C1380" s="59" t="s">
        <v>11</v>
      </c>
      <c r="D1380" s="139">
        <v>43168</v>
      </c>
      <c r="E1380" s="41"/>
      <c r="F1380" s="24"/>
      <c r="G1380" s="90"/>
      <c r="H1380" s="54"/>
      <c r="I1380" s="144"/>
      <c r="J1380" s="55"/>
      <c r="K1380" s="56"/>
      <c r="L1380" s="57"/>
      <c r="M1380" s="95"/>
      <c r="N1380" s="25"/>
    </row>
    <row r="1381" spans="1:16" ht="15.95" customHeight="1" x14ac:dyDescent="0.25">
      <c r="A1381" s="121"/>
      <c r="B1381" s="23"/>
      <c r="C1381" s="59" t="s">
        <v>12</v>
      </c>
      <c r="D1381" s="139">
        <v>44264</v>
      </c>
      <c r="E1381" s="36"/>
      <c r="F1381" s="24"/>
      <c r="G1381" s="90"/>
      <c r="H1381" s="24"/>
      <c r="I1381" s="24"/>
      <c r="J1381" s="24"/>
      <c r="K1381" s="24"/>
      <c r="L1381" s="24"/>
      <c r="M1381" s="24"/>
      <c r="N1381" s="25"/>
      <c r="O1381" s="194" t="str">
        <f>+IF(J1528="vencida",IF(D1530='Reporte - Oscuro'!$C$40,'Reporte - Oscuro'!$C$40&amp;" vencida",IF(D1530='Reporte - Oscuro'!$C$41,'Reporte - Oscuro'!$C$41&amp;" vencida",IF(D1530='Reporte - Oscuro'!$C$42,'Reporte - Oscuro'!$C$42&amp;" vencida",'Reporte - Oscuro'!$C$43&amp;" vencida"))),D1530&amp;" vigente")</f>
        <v>ON Pyme CNV Garantizada vencida</v>
      </c>
    </row>
    <row r="1382" spans="1:16" ht="15.95" customHeight="1" x14ac:dyDescent="0.25">
      <c r="A1382" s="121"/>
      <c r="B1382" s="23"/>
      <c r="C1382" s="59" t="s">
        <v>27</v>
      </c>
      <c r="D1382" s="140">
        <v>880000</v>
      </c>
      <c r="E1382" s="43"/>
      <c r="F1382" s="24"/>
      <c r="G1382" s="90"/>
      <c r="H1382" s="680" t="s">
        <v>43</v>
      </c>
      <c r="I1382" s="680"/>
      <c r="J1382" s="92">
        <v>0</v>
      </c>
      <c r="K1382" s="92"/>
      <c r="L1382" s="24"/>
      <c r="M1382" s="24"/>
      <c r="N1382" s="25"/>
    </row>
    <row r="1383" spans="1:16" ht="15.95" customHeight="1" x14ac:dyDescent="0.25">
      <c r="A1383" s="121"/>
      <c r="B1383" s="23"/>
      <c r="C1383" s="59" t="s">
        <v>26</v>
      </c>
      <c r="D1383" s="140">
        <v>3</v>
      </c>
      <c r="E1383" s="43"/>
      <c r="F1383" s="24"/>
      <c r="G1383" s="90"/>
      <c r="H1383" s="24"/>
      <c r="I1383" s="24"/>
      <c r="J1383" s="392"/>
      <c r="K1383" s="24"/>
      <c r="L1383" s="33"/>
      <c r="M1383" s="33"/>
      <c r="N1383" s="25"/>
    </row>
    <row r="1384" spans="1:16" ht="15.95" customHeight="1" x14ac:dyDescent="0.25">
      <c r="A1384" s="121"/>
      <c r="B1384" s="23"/>
      <c r="C1384" s="59" t="s">
        <v>19</v>
      </c>
      <c r="D1384" s="141" t="s">
        <v>50</v>
      </c>
      <c r="E1384" s="43"/>
      <c r="F1384" s="24"/>
      <c r="G1384" s="90"/>
      <c r="H1384" s="24"/>
      <c r="I1384" s="24"/>
      <c r="J1384" s="24"/>
      <c r="K1384" s="24"/>
      <c r="L1384" s="24"/>
      <c r="M1384" s="24"/>
      <c r="N1384" s="25"/>
    </row>
    <row r="1385" spans="1:16" ht="15.95" customHeight="1" x14ac:dyDescent="0.25">
      <c r="A1385" s="121"/>
      <c r="B1385" s="23"/>
      <c r="C1385" s="59" t="s">
        <v>14</v>
      </c>
      <c r="D1385" s="142">
        <v>7.7499999999999999E-2</v>
      </c>
      <c r="E1385" s="44"/>
      <c r="F1385" s="24"/>
      <c r="G1385" s="90"/>
      <c r="H1385" s="638" t="s">
        <v>44</v>
      </c>
      <c r="I1385" s="639"/>
      <c r="J1385" s="639"/>
      <c r="K1385" s="639"/>
      <c r="L1385" s="639"/>
      <c r="M1385" s="640"/>
      <c r="N1385" s="25"/>
    </row>
    <row r="1386" spans="1:16" ht="15.95" customHeight="1" x14ac:dyDescent="0.25">
      <c r="A1386" s="121"/>
      <c r="B1386" s="23"/>
      <c r="C1386" s="59" t="s">
        <v>225</v>
      </c>
      <c r="D1386" s="142">
        <v>0.1111</v>
      </c>
      <c r="E1386" s="24"/>
      <c r="F1386" s="24"/>
      <c r="G1386" s="90"/>
      <c r="H1386" s="23"/>
      <c r="I1386" s="24"/>
      <c r="J1386" s="24"/>
      <c r="K1386" s="24"/>
      <c r="L1386" s="24"/>
      <c r="M1386" s="25"/>
      <c r="N1386" s="25"/>
      <c r="O1386" s="97">
        <f>+M1533</f>
        <v>-170000</v>
      </c>
    </row>
    <row r="1387" spans="1:16" ht="15.95" customHeight="1" x14ac:dyDescent="0.25">
      <c r="A1387" s="121"/>
      <c r="B1387" s="23"/>
      <c r="C1387" s="59" t="s">
        <v>256</v>
      </c>
      <c r="D1387" s="142">
        <v>0.11119999999999999</v>
      </c>
      <c r="E1387" s="24"/>
      <c r="F1387" s="24"/>
      <c r="G1387" s="90"/>
      <c r="H1387" s="23"/>
      <c r="I1387" s="24"/>
      <c r="J1387" s="24"/>
      <c r="K1387" s="24"/>
      <c r="L1387" s="24"/>
      <c r="M1387" s="25"/>
      <c r="N1387" s="25"/>
      <c r="O1387" s="97">
        <f t="shared" ref="O1387:O1394" si="129">+M1534+O1386</f>
        <v>-144977.39726027398</v>
      </c>
    </row>
    <row r="1388" spans="1:16" ht="15.95" customHeight="1" x14ac:dyDescent="0.25">
      <c r="A1388" s="121"/>
      <c r="B1388" s="23"/>
      <c r="C1388" s="63"/>
      <c r="D1388" s="145"/>
      <c r="E1388" s="24"/>
      <c r="F1388" s="24"/>
      <c r="G1388" s="90"/>
      <c r="H1388" s="96"/>
      <c r="I1388" s="35"/>
      <c r="J1388" s="24"/>
      <c r="K1388" s="24"/>
      <c r="L1388" s="24"/>
      <c r="M1388" s="25"/>
      <c r="N1388" s="25"/>
      <c r="O1388" s="97">
        <f t="shared" si="129"/>
        <v>-120353.01369863015</v>
      </c>
    </row>
    <row r="1389" spans="1:16" ht="15.95" customHeight="1" x14ac:dyDescent="0.25">
      <c r="A1389" s="121"/>
      <c r="B1389" s="23"/>
      <c r="C1389" s="24"/>
      <c r="D1389" s="24"/>
      <c r="E1389" s="24"/>
      <c r="F1389" s="24"/>
      <c r="G1389" s="90"/>
      <c r="H1389" s="23"/>
      <c r="I1389" s="24"/>
      <c r="J1389" s="24"/>
      <c r="K1389" s="24"/>
      <c r="L1389" s="24"/>
      <c r="M1389" s="25"/>
      <c r="N1389" s="25"/>
      <c r="O1389" s="97">
        <f t="shared" si="129"/>
        <v>-96147.8082191781</v>
      </c>
    </row>
    <row r="1390" spans="1:16" ht="15.95" customHeight="1" x14ac:dyDescent="0.25">
      <c r="A1390" s="121"/>
      <c r="B1390" s="23"/>
      <c r="C1390" s="24"/>
      <c r="D1390" s="24"/>
      <c r="E1390" s="24"/>
      <c r="F1390" s="24"/>
      <c r="G1390" s="90"/>
      <c r="H1390" s="23"/>
      <c r="I1390" s="24"/>
      <c r="J1390" s="24"/>
      <c r="K1390" s="24"/>
      <c r="L1390" s="24"/>
      <c r="M1390" s="25"/>
      <c r="N1390" s="25"/>
      <c r="O1390" s="97">
        <f t="shared" si="129"/>
        <v>-72513.73287671234</v>
      </c>
    </row>
    <row r="1391" spans="1:16" ht="15.95" customHeight="1" x14ac:dyDescent="0.25">
      <c r="A1391" s="121"/>
      <c r="B1391" s="23"/>
      <c r="C1391" s="24"/>
      <c r="D1391" s="24"/>
      <c r="E1391" s="24"/>
      <c r="F1391" s="24"/>
      <c r="G1391" s="90"/>
      <c r="H1391" s="23"/>
      <c r="I1391" s="24"/>
      <c r="J1391" s="24"/>
      <c r="K1391" s="24"/>
      <c r="L1391" s="24"/>
      <c r="M1391" s="25"/>
      <c r="N1391" s="25"/>
      <c r="O1391" s="97">
        <f t="shared" si="129"/>
        <v>-49356.472602739741</v>
      </c>
      <c r="P1391" s="29"/>
    </row>
    <row r="1392" spans="1:16" ht="15.95" customHeight="1" x14ac:dyDescent="0.25">
      <c r="A1392" s="121"/>
      <c r="B1392" s="23"/>
      <c r="C1392" s="24"/>
      <c r="D1392" s="24"/>
      <c r="E1392" s="24"/>
      <c r="F1392" s="24"/>
      <c r="G1392" s="90"/>
      <c r="H1392" s="23"/>
      <c r="I1392" s="24"/>
      <c r="J1392" s="24"/>
      <c r="K1392" s="24"/>
      <c r="L1392" s="24"/>
      <c r="M1392" s="25"/>
      <c r="N1392" s="25"/>
      <c r="O1392" s="97">
        <f t="shared" si="129"/>
        <v>-26676.027397260288</v>
      </c>
      <c r="P1392" s="29"/>
    </row>
    <row r="1393" spans="1:16" ht="15.95" customHeight="1" x14ac:dyDescent="0.25">
      <c r="A1393" s="121"/>
      <c r="B1393" s="23"/>
      <c r="C1393" s="24"/>
      <c r="D1393" s="24"/>
      <c r="E1393" s="24"/>
      <c r="F1393" s="24"/>
      <c r="G1393" s="90"/>
      <c r="H1393" s="23"/>
      <c r="I1393" s="24"/>
      <c r="J1393" s="24"/>
      <c r="K1393" s="24"/>
      <c r="L1393" s="24"/>
      <c r="M1393" s="25"/>
      <c r="N1393" s="25"/>
      <c r="O1393" s="97">
        <f t="shared" si="129"/>
        <v>-4472.397260273985</v>
      </c>
    </row>
    <row r="1394" spans="1:16" ht="15.95" customHeight="1" x14ac:dyDescent="0.25">
      <c r="A1394" s="121"/>
      <c r="B1394" s="23"/>
      <c r="C1394" s="24"/>
      <c r="D1394" s="24"/>
      <c r="E1394" s="24"/>
      <c r="F1394" s="24"/>
      <c r="G1394" s="90"/>
      <c r="H1394" s="23"/>
      <c r="I1394" s="24"/>
      <c r="J1394" s="24"/>
      <c r="K1394" s="24"/>
      <c r="L1394" s="24"/>
      <c r="M1394" s="25"/>
      <c r="N1394" s="25"/>
      <c r="O1394" s="97">
        <f t="shared" si="129"/>
        <v>17254.417808219165</v>
      </c>
      <c r="P1394" s="29"/>
    </row>
    <row r="1395" spans="1:16" ht="15.95" customHeight="1" x14ac:dyDescent="0.25">
      <c r="A1395" s="121"/>
      <c r="B1395" s="23"/>
      <c r="C1395" s="24"/>
      <c r="D1395" s="24"/>
      <c r="E1395" s="24"/>
      <c r="F1395" s="24"/>
      <c r="G1395" s="90"/>
      <c r="H1395" s="23"/>
      <c r="I1395" s="24"/>
      <c r="J1395" s="24"/>
      <c r="K1395" s="24"/>
      <c r="L1395" s="24"/>
      <c r="M1395" s="25"/>
      <c r="N1395" s="25"/>
      <c r="P1395" s="29"/>
    </row>
    <row r="1396" spans="1:16" ht="15.95" customHeight="1" x14ac:dyDescent="0.25">
      <c r="A1396" s="121"/>
      <c r="B1396" s="23"/>
      <c r="C1396" s="24"/>
      <c r="D1396" s="24"/>
      <c r="E1396" s="24"/>
      <c r="F1396" s="24"/>
      <c r="G1396" s="90"/>
      <c r="H1396" s="23"/>
      <c r="I1396" s="24"/>
      <c r="J1396" s="24"/>
      <c r="K1396" s="24"/>
      <c r="L1396" s="24"/>
      <c r="M1396" s="25"/>
      <c r="N1396" s="25"/>
    </row>
    <row r="1397" spans="1:16" ht="15.95" customHeight="1" x14ac:dyDescent="0.25">
      <c r="A1397" s="121"/>
      <c r="B1397" s="23"/>
      <c r="C1397" s="24"/>
      <c r="D1397" s="24"/>
      <c r="E1397" s="24"/>
      <c r="F1397" s="24"/>
      <c r="G1397" s="90"/>
      <c r="H1397" s="26"/>
      <c r="I1397" s="27"/>
      <c r="J1397" s="27"/>
      <c r="K1397" s="27"/>
      <c r="L1397" s="27"/>
      <c r="M1397" s="28"/>
      <c r="N1397" s="25"/>
    </row>
    <row r="1398" spans="1:16" ht="15.95" customHeight="1" x14ac:dyDescent="0.25">
      <c r="A1398" s="121"/>
      <c r="B1398" s="26"/>
      <c r="C1398" s="85"/>
      <c r="D1398" s="27"/>
      <c r="E1398" s="27"/>
      <c r="F1398" s="27"/>
      <c r="G1398" s="91"/>
      <c r="H1398" s="27"/>
      <c r="I1398" s="27"/>
      <c r="J1398" s="27"/>
      <c r="K1398" s="27"/>
      <c r="L1398" s="27"/>
      <c r="M1398" s="27"/>
      <c r="N1398" s="28"/>
    </row>
    <row r="1399" spans="1:16" ht="15.95" customHeight="1" x14ac:dyDescent="0.25">
      <c r="A1399" s="121"/>
      <c r="B1399" s="23"/>
      <c r="C1399" s="24"/>
      <c r="D1399" s="24"/>
      <c r="E1399" s="24"/>
      <c r="F1399" s="24"/>
      <c r="G1399" s="24"/>
      <c r="H1399" s="24"/>
      <c r="I1399" s="24"/>
      <c r="J1399" s="24"/>
      <c r="K1399" s="24"/>
      <c r="L1399" s="24"/>
      <c r="M1399" s="24"/>
      <c r="N1399" s="25"/>
    </row>
    <row r="1400" spans="1:16" ht="15.95" customHeight="1" x14ac:dyDescent="0.25">
      <c r="A1400" s="121"/>
      <c r="B1400" s="683" t="s">
        <v>203</v>
      </c>
      <c r="C1400" s="684"/>
      <c r="D1400" s="684"/>
      <c r="E1400" s="684"/>
      <c r="F1400" s="684"/>
      <c r="G1400" s="684"/>
      <c r="H1400" s="684"/>
      <c r="I1400" s="684"/>
      <c r="J1400" s="684"/>
      <c r="K1400" s="684"/>
      <c r="L1400" s="684"/>
      <c r="M1400" s="684"/>
      <c r="N1400" s="685"/>
    </row>
    <row r="1401" spans="1:16" ht="15.95" customHeight="1" x14ac:dyDescent="0.25">
      <c r="A1401" s="121"/>
      <c r="B1401" s="23"/>
      <c r="C1401" s="24"/>
      <c r="D1401" s="24"/>
      <c r="E1401" s="24"/>
      <c r="F1401" s="31"/>
      <c r="G1401" s="87"/>
      <c r="H1401" s="31"/>
      <c r="I1401" s="31"/>
      <c r="J1401" s="24"/>
      <c r="K1401" s="24"/>
      <c r="L1401" s="24"/>
      <c r="M1401" s="24"/>
      <c r="N1401" s="25"/>
    </row>
    <row r="1402" spans="1:16" ht="15.95" customHeight="1" x14ac:dyDescent="0.25">
      <c r="A1402" s="121"/>
      <c r="B1402" s="23"/>
      <c r="C1402" s="638" t="s">
        <v>37</v>
      </c>
      <c r="D1402" s="639"/>
      <c r="E1402" s="640"/>
      <c r="F1402" s="31"/>
      <c r="G1402" s="87"/>
      <c r="H1402" s="641" t="s">
        <v>28</v>
      </c>
      <c r="I1402" s="642"/>
      <c r="J1402" s="39">
        <f>+$D$1422-SUMIF($H$1408:$H$1422,"&lt;"&amp;$M$4,$K$1408:$K$1422)</f>
        <v>0</v>
      </c>
      <c r="K1402" s="24"/>
      <c r="L1402" s="24"/>
      <c r="M1402" s="24"/>
      <c r="N1402" s="25"/>
    </row>
    <row r="1403" spans="1:16" ht="15.95" customHeight="1" x14ac:dyDescent="0.25">
      <c r="A1403" s="121"/>
      <c r="B1403" s="23"/>
      <c r="C1403" s="58"/>
      <c r="D1403" s="664"/>
      <c r="E1403" s="665"/>
      <c r="F1403" s="31"/>
      <c r="G1403" s="87"/>
      <c r="H1403" s="645" t="s">
        <v>29</v>
      </c>
      <c r="I1403" s="646"/>
      <c r="J1403" s="40">
        <f>+$D$1421</f>
        <v>44397</v>
      </c>
      <c r="K1403" s="24"/>
      <c r="L1403" s="24"/>
      <c r="M1403" s="24"/>
      <c r="N1403" s="25"/>
    </row>
    <row r="1404" spans="1:16" ht="15.95" customHeight="1" x14ac:dyDescent="0.25">
      <c r="A1404" s="121"/>
      <c r="B1404" s="23"/>
      <c r="C1404" s="59" t="s">
        <v>25</v>
      </c>
      <c r="D1404" s="681"/>
      <c r="E1404" s="682"/>
      <c r="F1404" s="31"/>
      <c r="G1404" s="87"/>
      <c r="H1404" s="649" t="s">
        <v>30</v>
      </c>
      <c r="I1404" s="650"/>
      <c r="J1404" s="42" t="str">
        <f t="array" ref="J1404">+IF($H1421&gt;=$M$4,MIN(IF($H$1408:$H1422&gt;$M$4,$H$1408:$H1422,"")),"vencida")</f>
        <v>vencida</v>
      </c>
      <c r="K1404" s="24"/>
      <c r="L1404" s="24"/>
      <c r="M1404" s="24"/>
      <c r="N1404" s="25"/>
    </row>
    <row r="1405" spans="1:16" ht="15.95" customHeight="1" x14ac:dyDescent="0.25">
      <c r="A1405" s="121"/>
      <c r="B1405" s="23"/>
      <c r="C1405" s="59" t="s">
        <v>6</v>
      </c>
      <c r="D1405" s="681" t="s">
        <v>257</v>
      </c>
      <c r="E1405" s="682"/>
      <c r="F1405" s="31"/>
      <c r="G1405" s="87"/>
      <c r="H1405" s="24"/>
      <c r="I1405" s="24"/>
      <c r="J1405" s="24"/>
      <c r="K1405" s="24"/>
      <c r="L1405" s="24"/>
      <c r="M1405" s="24"/>
      <c r="N1405" s="25"/>
    </row>
    <row r="1406" spans="1:16" ht="15.95" customHeight="1" x14ac:dyDescent="0.25">
      <c r="A1406" s="121"/>
      <c r="B1406" s="23"/>
      <c r="C1406" s="59" t="s">
        <v>8</v>
      </c>
      <c r="D1406" s="681" t="s">
        <v>17</v>
      </c>
      <c r="E1406" s="682"/>
      <c r="F1406" s="31"/>
      <c r="G1406" s="87"/>
      <c r="H1406" s="651" t="s">
        <v>41</v>
      </c>
      <c r="I1406" s="652"/>
      <c r="J1406" s="652"/>
      <c r="K1406" s="652"/>
      <c r="L1406" s="653"/>
      <c r="M1406" s="24"/>
      <c r="N1406" s="25"/>
    </row>
    <row r="1407" spans="1:16" ht="15.95" customHeight="1" x14ac:dyDescent="0.25">
      <c r="A1407" s="121"/>
      <c r="B1407" s="23"/>
      <c r="C1407" s="59" t="s">
        <v>33</v>
      </c>
      <c r="D1407" s="132" t="s">
        <v>309</v>
      </c>
      <c r="E1407" s="274">
        <v>1</v>
      </c>
      <c r="F1407" s="281">
        <f>+E1407*J1402</f>
        <v>0</v>
      </c>
      <c r="G1407" s="87"/>
      <c r="H1407" s="126" t="s">
        <v>0</v>
      </c>
      <c r="I1407" s="127" t="s">
        <v>2</v>
      </c>
      <c r="J1407" s="127" t="s">
        <v>3</v>
      </c>
      <c r="K1407" s="127" t="s">
        <v>4</v>
      </c>
      <c r="L1407" s="128" t="s">
        <v>5</v>
      </c>
      <c r="M1407" s="127" t="s">
        <v>44</v>
      </c>
      <c r="N1407" s="25"/>
    </row>
    <row r="1408" spans="1:16" ht="15.95" customHeight="1" x14ac:dyDescent="0.25">
      <c r="A1408" s="121"/>
      <c r="B1408" s="23"/>
      <c r="C1408" s="59" t="s">
        <v>34</v>
      </c>
      <c r="D1408" s="681" t="s">
        <v>48</v>
      </c>
      <c r="E1408" s="682"/>
      <c r="F1408" s="31"/>
      <c r="G1408" s="87"/>
      <c r="H1408" s="45"/>
      <c r="I1408" s="46"/>
      <c r="J1408" s="46"/>
      <c r="K1408" s="46"/>
      <c r="L1408" s="47"/>
      <c r="M1408" s="23"/>
      <c r="N1408" s="25"/>
    </row>
    <row r="1409" spans="1:15" ht="15.95" customHeight="1" x14ac:dyDescent="0.25">
      <c r="A1409" s="121"/>
      <c r="B1409" s="23"/>
      <c r="C1409" s="79" t="s">
        <v>38</v>
      </c>
      <c r="D1409" s="130"/>
      <c r="E1409" s="131"/>
      <c r="F1409" s="31"/>
      <c r="G1409" s="87"/>
      <c r="H1409" s="48">
        <f>+$D$1420</f>
        <v>43301</v>
      </c>
      <c r="I1409" s="136"/>
      <c r="J1409" s="49"/>
      <c r="K1409" s="49"/>
      <c r="L1409" s="50">
        <f>+D1422</f>
        <v>200000</v>
      </c>
      <c r="M1409" s="93">
        <f>-L1409</f>
        <v>-200000</v>
      </c>
      <c r="N1409" s="25"/>
    </row>
    <row r="1410" spans="1:15" ht="15.95" customHeight="1" x14ac:dyDescent="0.25">
      <c r="A1410" s="121"/>
      <c r="B1410" s="23"/>
      <c r="C1410" s="59"/>
      <c r="D1410" s="132"/>
      <c r="E1410" s="133"/>
      <c r="F1410" s="31"/>
      <c r="G1410" s="87"/>
      <c r="H1410" s="51">
        <f>IF(DAY(H1409)=DAY($H$1409),IF(WEEKDAY(EDATE(H1409,$D$1423),3)&lt;5,EDATE(H1409,$D$1423),WORKDAY(EDATE(H1409,$D$1423),1)),IF(WEEKDAY(EDATE($H$1409,$D$1423*COUNT($H$1409:H1409)),3)&lt;5,EDATE($H$1409,$D$1423*COUNT($H$1409:H1409)),WORKDAY(EDATE($H$1409,$D$1423*COUNT($H$1409:H1409)),1)))</f>
        <v>43395</v>
      </c>
      <c r="I1410" s="137" t="s">
        <v>13</v>
      </c>
      <c r="J1410" s="52">
        <f t="shared" ref="J1410:J1421" si="130">+(($D$1425/365)*(H1410-H1409))*L1409</f>
        <v>4712.8767123287671</v>
      </c>
      <c r="K1410" s="52">
        <f>+IF(OR(I1410="A + C",I1410="A"),$L$1409*$D$1426,0)</f>
        <v>16666.666666666668</v>
      </c>
      <c r="L1410" s="53">
        <f t="shared" ref="L1410:L1421" si="131">+L1409-K1410</f>
        <v>183333.33333333334</v>
      </c>
      <c r="M1410" s="94">
        <f t="shared" ref="M1410:M1421" si="132">+J1410+K1410</f>
        <v>21379.543378995433</v>
      </c>
      <c r="N1410" s="25"/>
    </row>
    <row r="1411" spans="1:15" ht="15.95" customHeight="1" x14ac:dyDescent="0.25">
      <c r="A1411" s="121"/>
      <c r="B1411" s="23"/>
      <c r="C1411" s="60"/>
      <c r="D1411" s="134"/>
      <c r="E1411" s="135"/>
      <c r="F1411" s="34"/>
      <c r="G1411" s="88"/>
      <c r="H1411" s="51">
        <f>IF(DAY(H1410)=DAY($H$1409),IF(WEEKDAY(EDATE(H1410,$D$1423),3)&lt;5,EDATE(H1410,$D$1423),WORKDAY(EDATE(H1410,$D$1423),1)),IF(WEEKDAY(EDATE($H$1409,$D$1423*COUNT($H$1409:H1410)),3)&lt;5,EDATE($H$1409,$D$1423*COUNT($H$1409:H1410)),WORKDAY(EDATE($H$1409,$D$1423*COUNT($H$1409:H1410)),1)))</f>
        <v>43486</v>
      </c>
      <c r="I1411" s="137" t="s">
        <v>13</v>
      </c>
      <c r="J1411" s="52">
        <f t="shared" si="130"/>
        <v>4182.2602739726026</v>
      </c>
      <c r="K1411" s="52">
        <f t="shared" ref="K1411:K1421" si="133">+IF(OR(I1411="A + C",I1411="A"),$D$1422*$D$1426,0)</f>
        <v>16666.666666666668</v>
      </c>
      <c r="L1411" s="53">
        <f t="shared" si="131"/>
        <v>166666.66666666669</v>
      </c>
      <c r="M1411" s="94">
        <f t="shared" si="132"/>
        <v>20848.92694063927</v>
      </c>
      <c r="N1411" s="25"/>
    </row>
    <row r="1412" spans="1:15" ht="15.95" customHeight="1" x14ac:dyDescent="0.25">
      <c r="A1412" s="121"/>
      <c r="B1412" s="23"/>
      <c r="C1412" s="60"/>
      <c r="D1412" s="55" t="str">
        <f>B1400</f>
        <v>Metalurgica Sergio Strapazzon I</v>
      </c>
      <c r="E1412" s="64"/>
      <c r="F1412" s="34"/>
      <c r="G1412" s="88">
        <f>J1402</f>
        <v>0</v>
      </c>
      <c r="H1412" s="51">
        <f>IF(DAY(H1411)=DAY($H$1409),IF(WEEKDAY(EDATE(H1411,$D$1423),3)&lt;5,EDATE(H1411,$D$1423),WORKDAY(EDATE(H1411,$D$1423),1)),IF(WEEKDAY(EDATE($H$1409,$D$1423*COUNT($H$1409:H1411)),3)&lt;5,EDATE($H$1409,$D$1423*COUNT($H$1409:H1411)),WORKDAY(EDATE($H$1409,$D$1423*COUNT($H$1409:H1411)),1)))</f>
        <v>43577</v>
      </c>
      <c r="I1412" s="137" t="s">
        <v>13</v>
      </c>
      <c r="J1412" s="52">
        <f t="shared" si="130"/>
        <v>3802.0547945205481</v>
      </c>
      <c r="K1412" s="52">
        <f t="shared" si="133"/>
        <v>16666.666666666668</v>
      </c>
      <c r="L1412" s="53">
        <f t="shared" si="131"/>
        <v>150000.00000000003</v>
      </c>
      <c r="M1412" s="94">
        <f t="shared" si="132"/>
        <v>20468.721461187215</v>
      </c>
      <c r="N1412" s="25"/>
    </row>
    <row r="1413" spans="1:15" ht="15.95" customHeight="1" x14ac:dyDescent="0.25">
      <c r="A1413" s="121"/>
      <c r="B1413" s="32"/>
      <c r="D1413" s="644"/>
      <c r="E1413" s="660"/>
      <c r="F1413" s="34"/>
      <c r="G1413" s="88"/>
      <c r="H1413" s="51">
        <f>IF(DAY(H1412)=DAY($H$1409),IF(WEEKDAY(EDATE(H1412,$D$1423),3)&lt;5,EDATE(H1412,$D$1423),WORKDAY(EDATE(H1412,$D$1423),1)),IF(WEEKDAY(EDATE($H$1409,$D$1423*COUNT($H$1409:H1412)),3)&lt;5,EDATE($H$1409,$D$1423*COUNT($H$1409:H1412)),WORKDAY(EDATE($H$1409,$D$1423*COUNT($H$1409:H1412)),1)))</f>
        <v>43668</v>
      </c>
      <c r="I1413" s="137" t="s">
        <v>13</v>
      </c>
      <c r="J1413" s="52">
        <f t="shared" si="130"/>
        <v>3421.8493150684935</v>
      </c>
      <c r="K1413" s="52">
        <f t="shared" si="133"/>
        <v>16666.666666666668</v>
      </c>
      <c r="L1413" s="53">
        <f t="shared" si="131"/>
        <v>133333.33333333337</v>
      </c>
      <c r="M1413" s="94">
        <f t="shared" si="132"/>
        <v>20088.51598173516</v>
      </c>
      <c r="N1413" s="25"/>
    </row>
    <row r="1414" spans="1:15" ht="15.95" customHeight="1" x14ac:dyDescent="0.25">
      <c r="A1414" s="121"/>
      <c r="B1414" s="23"/>
      <c r="C1414" s="638" t="s">
        <v>36</v>
      </c>
      <c r="D1414" s="640"/>
      <c r="E1414" s="36"/>
      <c r="F1414" s="34"/>
      <c r="G1414" s="88"/>
      <c r="H1414" s="51">
        <f>IF(DAY(H1413)=DAY($H$1409),IF(WEEKDAY(EDATE(H1413,$D$1423),3)&lt;5,EDATE(H1413,$D$1423),WORKDAY(EDATE(H1413,$D$1423),1)),IF(WEEKDAY(EDATE($H$1409,$D$1423*COUNT($H$1409:H1413)),3)&lt;5,EDATE($H$1409,$D$1423*COUNT($H$1409:H1413)),WORKDAY(EDATE($H$1409,$D$1423*COUNT($H$1409:H1413)),1)))</f>
        <v>43759</v>
      </c>
      <c r="I1414" s="137" t="s">
        <v>13</v>
      </c>
      <c r="J1414" s="52">
        <f t="shared" si="130"/>
        <v>3041.643835616439</v>
      </c>
      <c r="K1414" s="52">
        <f t="shared" si="133"/>
        <v>16666.666666666668</v>
      </c>
      <c r="L1414" s="53">
        <f t="shared" si="131"/>
        <v>116666.6666666667</v>
      </c>
      <c r="M1414" s="94">
        <f t="shared" si="132"/>
        <v>19708.310502283108</v>
      </c>
      <c r="N1414" s="25"/>
    </row>
    <row r="1415" spans="1:15" ht="15.95" customHeight="1" x14ac:dyDescent="0.25">
      <c r="A1415" s="121"/>
      <c r="B1415" s="23"/>
      <c r="C1415" s="59"/>
      <c r="D1415" s="62"/>
      <c r="E1415" s="36"/>
      <c r="F1415" s="36"/>
      <c r="G1415" s="89"/>
      <c r="H1415" s="51">
        <f>IF(DAY(H1414)=DAY($H$1409),IF(WEEKDAY(EDATE(H1414,$D$1423),3)&lt;5,EDATE(H1414,$D$1423),WORKDAY(EDATE(H1414,$D$1423),1)),IF(WEEKDAY(EDATE($H$1409,$D$1423*COUNT($H$1409:H1414)),3)&lt;5,EDATE($H$1409,$D$1423*COUNT($H$1409:H1414)),WORKDAY(EDATE($H$1409,$D$1423*COUNT($H$1409:H1414)),1)))</f>
        <v>43850</v>
      </c>
      <c r="I1415" s="137" t="s">
        <v>13</v>
      </c>
      <c r="J1415" s="52">
        <f t="shared" si="130"/>
        <v>2661.438356164384</v>
      </c>
      <c r="K1415" s="52">
        <f t="shared" si="133"/>
        <v>16666.666666666668</v>
      </c>
      <c r="L1415" s="53">
        <f t="shared" si="131"/>
        <v>100000.00000000003</v>
      </c>
      <c r="M1415" s="94">
        <f t="shared" si="132"/>
        <v>19328.105022831052</v>
      </c>
      <c r="N1415" s="25"/>
    </row>
    <row r="1416" spans="1:15" ht="15.95" customHeight="1" x14ac:dyDescent="0.25">
      <c r="A1416" s="121"/>
      <c r="B1416" s="23"/>
      <c r="C1416" s="59" t="s">
        <v>9</v>
      </c>
      <c r="D1416" s="129" t="s">
        <v>49</v>
      </c>
      <c r="E1416" s="36"/>
      <c r="F1416" s="36"/>
      <c r="G1416" s="89"/>
      <c r="H1416" s="51">
        <f>IF(DAY(H1415)=DAY($H$1409),IF(WEEKDAY(EDATE(H1415,$D$1423),3)&lt;5,EDATE(H1415,$D$1423),WORKDAY(EDATE(H1415,$D$1423),1)),IF(WEEKDAY(EDATE($H$1409,$D$1423*COUNT($H$1409:H1415)),3)&lt;5,EDATE($H$1409,$D$1423*COUNT($H$1409:H1415)),WORKDAY(EDATE($H$1409,$D$1423*COUNT($H$1409:H1415)),1)))</f>
        <v>43941</v>
      </c>
      <c r="I1416" s="137" t="s">
        <v>13</v>
      </c>
      <c r="J1416" s="52">
        <f t="shared" si="130"/>
        <v>2281.232876712329</v>
      </c>
      <c r="K1416" s="52">
        <f t="shared" si="133"/>
        <v>16666.666666666668</v>
      </c>
      <c r="L1416" s="53">
        <f t="shared" si="131"/>
        <v>83333.333333333358</v>
      </c>
      <c r="M1416" s="94">
        <f t="shared" si="132"/>
        <v>18947.899543378997</v>
      </c>
      <c r="N1416" s="25"/>
    </row>
    <row r="1417" spans="1:15" ht="20.100000000000001" customHeight="1" x14ac:dyDescent="0.25">
      <c r="A1417" s="121"/>
      <c r="B1417" s="23"/>
      <c r="C1417" s="59" t="s">
        <v>51</v>
      </c>
      <c r="D1417" s="138" t="s">
        <v>235</v>
      </c>
      <c r="E1417" s="36"/>
      <c r="F1417" s="36"/>
      <c r="G1417" s="89"/>
      <c r="H1417" s="51">
        <f>IF(DAY(H1416)=DAY($H$1409),IF(WEEKDAY(EDATE(H1416,$D$1423),3)&lt;5,EDATE(H1416,$D$1423),WORKDAY(EDATE(H1416,$D$1423),1)),IF(WEEKDAY(EDATE($H$1409,$D$1423*COUNT($H$1409:H1416)),3)&lt;5,EDATE($H$1409,$D$1423*COUNT($H$1409:H1416)),WORKDAY(EDATE($H$1409,$D$1423*COUNT($H$1409:H1416)),1)))</f>
        <v>44032</v>
      </c>
      <c r="I1417" s="137" t="s">
        <v>13</v>
      </c>
      <c r="J1417" s="52">
        <f t="shared" si="130"/>
        <v>1901.0273972602743</v>
      </c>
      <c r="K1417" s="52">
        <f t="shared" si="133"/>
        <v>16666.666666666668</v>
      </c>
      <c r="L1417" s="53">
        <f t="shared" si="131"/>
        <v>66666.666666666686</v>
      </c>
      <c r="M1417" s="94">
        <f t="shared" si="132"/>
        <v>18567.694063926941</v>
      </c>
      <c r="N1417" s="25"/>
    </row>
    <row r="1418" spans="1:15" ht="15.95" customHeight="1" x14ac:dyDescent="0.25">
      <c r="A1418" s="121"/>
      <c r="B1418" s="23"/>
      <c r="C1418" s="59" t="s">
        <v>52</v>
      </c>
      <c r="D1418" s="138" t="s">
        <v>49</v>
      </c>
      <c r="E1418" s="36"/>
      <c r="F1418" s="36"/>
      <c r="G1418" s="89"/>
      <c r="H1418" s="51">
        <f>IF(DAY(H1417)=DAY($H$1409),IF(WEEKDAY(EDATE(H1417,$D$1423),3)&lt;5,EDATE(H1417,$D$1423),WORKDAY(EDATE(H1417,$D$1423),1)),IF(WEEKDAY(EDATE($H$1409,$D$1423*COUNT($H$1409:H1417)),3)&lt;5,EDATE($H$1409,$D$1423*COUNT($H$1409:H1417)),WORKDAY(EDATE($H$1409,$D$1423*COUNT($H$1409:H1417)),1)))</f>
        <v>44124</v>
      </c>
      <c r="I1418" s="137" t="s">
        <v>13</v>
      </c>
      <c r="J1418" s="52">
        <f t="shared" si="130"/>
        <v>1537.5342465753426</v>
      </c>
      <c r="K1418" s="52">
        <f t="shared" si="133"/>
        <v>16666.666666666668</v>
      </c>
      <c r="L1418" s="53">
        <f t="shared" si="131"/>
        <v>50000.000000000015</v>
      </c>
      <c r="M1418" s="94">
        <f t="shared" si="132"/>
        <v>18204.20091324201</v>
      </c>
      <c r="N1418" s="25"/>
    </row>
    <row r="1419" spans="1:15" ht="20.100000000000001" customHeight="1" x14ac:dyDescent="0.25">
      <c r="A1419" s="121"/>
      <c r="B1419" s="23"/>
      <c r="C1419" s="59" t="s">
        <v>10</v>
      </c>
      <c r="D1419" s="139">
        <v>43298</v>
      </c>
      <c r="E1419" s="36"/>
      <c r="F1419" s="36"/>
      <c r="G1419" s="89"/>
      <c r="H1419" s="51">
        <f>IF(DAY(H1418)=DAY($H$1409),IF(WEEKDAY(EDATE(H1418,$D$1423),3)&lt;5,EDATE(H1418,$D$1423),WORKDAY(EDATE(H1418,$D$1423),1)),IF(WEEKDAY(EDATE($H$1409,$D$1423*COUNT($H$1409:H1418)),3)&lt;5,EDATE($H$1409,$D$1423*COUNT($H$1409:H1418)),WORKDAY(EDATE($H$1409,$D$1423*COUNT($H$1409:H1418)),1)))</f>
        <v>44216</v>
      </c>
      <c r="I1419" s="137" t="s">
        <v>13</v>
      </c>
      <c r="J1419" s="52">
        <f t="shared" si="130"/>
        <v>1153.1506849315069</v>
      </c>
      <c r="K1419" s="52">
        <f t="shared" si="133"/>
        <v>16666.666666666668</v>
      </c>
      <c r="L1419" s="53">
        <f t="shared" si="131"/>
        <v>33333.333333333343</v>
      </c>
      <c r="M1419" s="94">
        <f t="shared" si="132"/>
        <v>17819.817351598176</v>
      </c>
      <c r="N1419" s="25"/>
    </row>
    <row r="1420" spans="1:15" ht="15.95" customHeight="1" x14ac:dyDescent="0.25">
      <c r="A1420" s="121"/>
      <c r="B1420" s="23"/>
      <c r="C1420" s="59" t="s">
        <v>11</v>
      </c>
      <c r="D1420" s="139">
        <v>43301</v>
      </c>
      <c r="E1420" s="41"/>
      <c r="F1420" s="24"/>
      <c r="G1420" s="90"/>
      <c r="H1420" s="51">
        <f>IF(DAY(H1419)=DAY($H$1409),IF(WEEKDAY(EDATE(H1419,$D$1423),3)&lt;5,EDATE(H1419,$D$1423),WORKDAY(EDATE(H1419,$D$1423),1)),IF(WEEKDAY(EDATE($H$1409,$D$1423*COUNT($H$1409:H1419)),3)&lt;5,EDATE($H$1409,$D$1423*COUNT($H$1409:H1419)),WORKDAY(EDATE($H$1409,$D$1423*COUNT($H$1409:H1419)),1)))</f>
        <v>44306</v>
      </c>
      <c r="I1420" s="137" t="s">
        <v>13</v>
      </c>
      <c r="J1420" s="52">
        <f t="shared" si="130"/>
        <v>752.05479452054806</v>
      </c>
      <c r="K1420" s="52">
        <f t="shared" si="133"/>
        <v>16666.666666666668</v>
      </c>
      <c r="L1420" s="53">
        <f t="shared" si="131"/>
        <v>16666.666666666675</v>
      </c>
      <c r="M1420" s="94">
        <f t="shared" si="132"/>
        <v>17418.721461187215</v>
      </c>
      <c r="N1420" s="25"/>
    </row>
    <row r="1421" spans="1:15" ht="20.100000000000001" customHeight="1" x14ac:dyDescent="0.25">
      <c r="A1421" s="121"/>
      <c r="B1421" s="23"/>
      <c r="C1421" s="59" t="s">
        <v>12</v>
      </c>
      <c r="D1421" s="139">
        <v>44397</v>
      </c>
      <c r="E1421" s="36"/>
      <c r="F1421" s="24"/>
      <c r="G1421" s="90"/>
      <c r="H1421" s="51">
        <f>IF(DAY(H1420)=DAY($H$1409),IF(WEEKDAY(EDATE(H1420,$D$1423),3)&lt;5,EDATE(H1420,$D$1423),WORKDAY(EDATE(H1420,$D$1423),1)),IF(WEEKDAY(EDATE($H$1409,$D$1423*COUNT($H$1409:H1420)),3)&lt;5,EDATE($H$1409,$D$1423*COUNT($H$1409:H1420)),WORKDAY(EDATE($H$1409,$D$1423*COUNT($H$1409:H1420)),1)))</f>
        <v>44397</v>
      </c>
      <c r="I1421" s="137" t="s">
        <v>13</v>
      </c>
      <c r="J1421" s="52">
        <f t="shared" si="130"/>
        <v>380.20547945205493</v>
      </c>
      <c r="K1421" s="52">
        <f t="shared" si="133"/>
        <v>16666.666666666668</v>
      </c>
      <c r="L1421" s="53">
        <f t="shared" si="131"/>
        <v>0</v>
      </c>
      <c r="M1421" s="94">
        <f t="shared" si="132"/>
        <v>17046.872146118723</v>
      </c>
      <c r="N1421" s="25"/>
    </row>
    <row r="1422" spans="1:15" ht="15.95" customHeight="1" x14ac:dyDescent="0.25">
      <c r="A1422" s="121"/>
      <c r="B1422" s="23"/>
      <c r="C1422" s="59" t="s">
        <v>27</v>
      </c>
      <c r="D1422" s="140">
        <v>200000</v>
      </c>
      <c r="E1422" s="43"/>
      <c r="F1422" s="24"/>
      <c r="G1422" s="90"/>
      <c r="H1422" s="54"/>
      <c r="I1422" s="144"/>
      <c r="J1422" s="55"/>
      <c r="K1422" s="56"/>
      <c r="L1422" s="57"/>
      <c r="M1422" s="95"/>
      <c r="N1422" s="25"/>
    </row>
    <row r="1423" spans="1:15" ht="15.95" customHeight="1" x14ac:dyDescent="0.25">
      <c r="A1423" s="121"/>
      <c r="B1423" s="23"/>
      <c r="C1423" s="59" t="s">
        <v>26</v>
      </c>
      <c r="D1423" s="140">
        <v>3</v>
      </c>
      <c r="E1423" s="43"/>
      <c r="F1423" s="24"/>
      <c r="G1423" s="90"/>
      <c r="H1423" s="24"/>
      <c r="I1423" s="24"/>
      <c r="J1423" s="24"/>
      <c r="K1423" s="24"/>
      <c r="L1423" s="24"/>
      <c r="M1423" s="24"/>
      <c r="N1423" s="25"/>
      <c r="O1423" s="194" t="str">
        <f>+D1568</f>
        <v>ON Pyme CNV Garantizada</v>
      </c>
    </row>
    <row r="1424" spans="1:15" ht="15.95" customHeight="1" x14ac:dyDescent="0.25">
      <c r="A1424" s="121"/>
      <c r="B1424" s="23"/>
      <c r="C1424" s="59" t="s">
        <v>19</v>
      </c>
      <c r="D1424" s="141" t="s">
        <v>50</v>
      </c>
      <c r="E1424" s="43"/>
      <c r="F1424" s="24"/>
      <c r="G1424" s="90"/>
      <c r="H1424" s="680" t="s">
        <v>43</v>
      </c>
      <c r="I1424" s="680"/>
      <c r="J1424" s="92">
        <v>0</v>
      </c>
      <c r="K1424" s="92"/>
      <c r="L1424" s="24"/>
      <c r="M1424" s="24"/>
      <c r="N1424" s="25"/>
    </row>
    <row r="1425" spans="1:15" ht="15.95" customHeight="1" x14ac:dyDescent="0.25">
      <c r="A1425" s="121"/>
      <c r="B1425" s="23"/>
      <c r="C1425" s="59" t="s">
        <v>14</v>
      </c>
      <c r="D1425" s="142">
        <v>9.1499999999999998E-2</v>
      </c>
      <c r="E1425" s="44"/>
      <c r="F1425" s="24"/>
      <c r="G1425" s="90"/>
      <c r="H1425" s="657"/>
      <c r="I1425" s="657"/>
      <c r="J1425" s="392"/>
      <c r="K1425" s="24"/>
      <c r="L1425" s="33"/>
      <c r="M1425" s="33"/>
      <c r="N1425" s="25"/>
      <c r="O1425" s="194" t="str">
        <f>+IF(J1566="vencida",IF(D1568='Reporte - Oscuro'!$C$40,'Reporte - Oscuro'!$C$40&amp;" vencida",IF(D1568='Reporte - Oscuro'!$C$41,'Reporte - Oscuro'!$C$41&amp;" vencida",IF(D1568='Reporte - Oscuro'!$C$42,'Reporte - Oscuro'!$C$42&amp;" vencida",'Reporte - Oscuro'!$C$43&amp;" vencida"))),D1568&amp;" vigente")</f>
        <v>ON Pyme CNV Garantizada vencida</v>
      </c>
    </row>
    <row r="1426" spans="1:15" ht="15.95" customHeight="1" x14ac:dyDescent="0.25">
      <c r="A1426" s="121"/>
      <c r="B1426" s="23"/>
      <c r="C1426" s="59" t="s">
        <v>93</v>
      </c>
      <c r="D1426" s="142">
        <v>8.3333333333333343E-2</v>
      </c>
      <c r="E1426" s="24"/>
      <c r="F1426" s="24"/>
      <c r="G1426" s="90"/>
      <c r="H1426" s="24"/>
      <c r="I1426" s="24"/>
      <c r="J1426" s="24"/>
      <c r="K1426" s="24"/>
      <c r="L1426" s="24"/>
      <c r="M1426" s="24"/>
      <c r="N1426" s="25"/>
    </row>
    <row r="1427" spans="1:15" ht="15.95" customHeight="1" x14ac:dyDescent="0.25">
      <c r="A1427" s="121"/>
      <c r="B1427" s="23"/>
      <c r="C1427" s="63"/>
      <c r="D1427" s="145"/>
      <c r="E1427" s="24"/>
      <c r="F1427" s="24"/>
      <c r="G1427" s="90"/>
      <c r="H1427" s="638" t="s">
        <v>44</v>
      </c>
      <c r="I1427" s="639"/>
      <c r="J1427" s="639"/>
      <c r="K1427" s="639"/>
      <c r="L1427" s="639"/>
      <c r="M1427" s="640"/>
      <c r="N1427" s="25"/>
    </row>
    <row r="1428" spans="1:15" ht="15.95" customHeight="1" x14ac:dyDescent="0.25">
      <c r="A1428" s="121"/>
      <c r="B1428" s="23"/>
      <c r="C1428" s="24"/>
      <c r="D1428" s="24"/>
      <c r="E1428" s="24"/>
      <c r="F1428" s="24"/>
      <c r="G1428" s="90"/>
      <c r="H1428" s="23"/>
      <c r="I1428" s="24"/>
      <c r="J1428" s="24"/>
      <c r="K1428" s="24"/>
      <c r="L1428" s="24"/>
      <c r="M1428" s="25"/>
      <c r="N1428" s="25"/>
    </row>
    <row r="1429" spans="1:15" ht="15.95" customHeight="1" x14ac:dyDescent="0.25">
      <c r="A1429" s="121"/>
      <c r="B1429" s="23"/>
      <c r="C1429" s="24"/>
      <c r="D1429" s="24"/>
      <c r="E1429" s="24"/>
      <c r="F1429" s="24"/>
      <c r="G1429" s="90"/>
      <c r="H1429" s="23"/>
      <c r="I1429" s="24"/>
      <c r="J1429" s="24"/>
      <c r="K1429" s="24"/>
      <c r="L1429" s="24"/>
      <c r="M1429" s="25"/>
      <c r="N1429" s="25"/>
    </row>
    <row r="1430" spans="1:15" ht="15.95" customHeight="1" x14ac:dyDescent="0.25">
      <c r="A1430" s="121"/>
      <c r="B1430" s="23"/>
      <c r="C1430" s="24"/>
      <c r="D1430" s="24"/>
      <c r="E1430" s="24"/>
      <c r="F1430" s="24"/>
      <c r="G1430" s="90"/>
      <c r="H1430" s="96"/>
      <c r="I1430" s="35"/>
      <c r="J1430" s="24"/>
      <c r="K1430" s="24"/>
      <c r="L1430" s="24"/>
      <c r="M1430" s="25"/>
      <c r="N1430" s="25"/>
      <c r="O1430" s="97">
        <f>+M1571</f>
        <v>-100000</v>
      </c>
    </row>
    <row r="1431" spans="1:15" ht="15.95" customHeight="1" x14ac:dyDescent="0.25">
      <c r="A1431" s="121"/>
      <c r="B1431" s="23"/>
      <c r="C1431" s="24"/>
      <c r="D1431" s="24"/>
      <c r="E1431" s="24"/>
      <c r="F1431" s="24"/>
      <c r="G1431" s="90"/>
      <c r="H1431" s="23"/>
      <c r="I1431" s="24"/>
      <c r="J1431" s="24"/>
      <c r="K1431" s="24"/>
      <c r="L1431" s="24"/>
      <c r="M1431" s="25"/>
      <c r="N1431" s="25"/>
      <c r="O1431" s="97">
        <f t="shared" ref="O1431:O1436" si="134">+M1572+O1430</f>
        <v>-79720.109589041094</v>
      </c>
    </row>
    <row r="1432" spans="1:15" ht="15.95" customHeight="1" x14ac:dyDescent="0.25">
      <c r="A1432" s="121"/>
      <c r="B1432" s="23"/>
      <c r="C1432" s="24"/>
      <c r="D1432" s="24"/>
      <c r="E1432" s="24"/>
      <c r="F1432" s="24"/>
      <c r="G1432" s="90"/>
      <c r="H1432" s="23"/>
      <c r="I1432" s="24"/>
      <c r="J1432" s="24"/>
      <c r="K1432" s="24"/>
      <c r="L1432" s="24"/>
      <c r="M1432" s="25"/>
      <c r="N1432" s="25"/>
      <c r="O1432" s="97">
        <f t="shared" si="134"/>
        <v>-60164.078904109585</v>
      </c>
    </row>
    <row r="1433" spans="1:15" ht="15.95" customHeight="1" x14ac:dyDescent="0.25">
      <c r="A1433" s="121"/>
      <c r="B1433" s="23"/>
      <c r="C1433" s="24"/>
      <c r="D1433" s="24"/>
      <c r="E1433" s="24"/>
      <c r="F1433" s="24"/>
      <c r="G1433" s="90"/>
      <c r="H1433" s="23"/>
      <c r="I1433" s="24"/>
      <c r="J1433" s="24"/>
      <c r="K1433" s="24"/>
      <c r="L1433" s="24"/>
      <c r="M1433" s="25"/>
      <c r="N1433" s="25"/>
      <c r="O1433" s="97">
        <f t="shared" si="134"/>
        <v>-40253.753424657531</v>
      </c>
    </row>
    <row r="1434" spans="1:15" ht="15.95" customHeight="1" x14ac:dyDescent="0.25">
      <c r="A1434" s="121"/>
      <c r="B1434" s="23"/>
      <c r="C1434" s="24"/>
      <c r="D1434" s="24"/>
      <c r="E1434" s="24"/>
      <c r="F1434" s="24"/>
      <c r="G1434" s="90"/>
      <c r="H1434" s="23"/>
      <c r="I1434" s="24"/>
      <c r="J1434" s="24"/>
      <c r="K1434" s="24"/>
      <c r="L1434" s="24"/>
      <c r="M1434" s="25"/>
      <c r="N1434" s="25"/>
      <c r="O1434" s="97">
        <f t="shared" si="134"/>
        <v>-21106.597534246572</v>
      </c>
    </row>
    <row r="1435" spans="1:15" ht="15.95" customHeight="1" x14ac:dyDescent="0.25">
      <c r="A1435" s="121"/>
      <c r="B1435" s="23"/>
      <c r="C1435" s="24"/>
      <c r="D1435" s="24"/>
      <c r="E1435" s="24"/>
      <c r="F1435" s="24"/>
      <c r="G1435" s="90"/>
      <c r="H1435" s="23"/>
      <c r="I1435" s="24"/>
      <c r="J1435" s="24"/>
      <c r="K1435" s="24"/>
      <c r="L1435" s="24"/>
      <c r="M1435" s="25"/>
      <c r="N1435" s="25"/>
      <c r="O1435" s="97">
        <f t="shared" si="134"/>
        <v>-2635.6178082191727</v>
      </c>
    </row>
    <row r="1436" spans="1:15" ht="15.95" customHeight="1" x14ac:dyDescent="0.25">
      <c r="A1436" s="121"/>
      <c r="B1436" s="23"/>
      <c r="C1436" s="24"/>
      <c r="D1436" s="24"/>
      <c r="E1436" s="24"/>
      <c r="F1436" s="24"/>
      <c r="G1436" s="90"/>
      <c r="H1436" s="23"/>
      <c r="I1436" s="24"/>
      <c r="J1436" s="24"/>
      <c r="K1436" s="24"/>
      <c r="L1436" s="24"/>
      <c r="M1436" s="25"/>
      <c r="N1436" s="25"/>
      <c r="O1436" s="97">
        <f t="shared" si="134"/>
        <v>15072.192328767127</v>
      </c>
    </row>
    <row r="1437" spans="1:15" ht="15.95" customHeight="1" x14ac:dyDescent="0.25">
      <c r="A1437" s="121"/>
      <c r="B1437" s="23"/>
      <c r="C1437" s="24"/>
      <c r="D1437" s="24"/>
      <c r="E1437" s="24"/>
      <c r="F1437" s="24"/>
      <c r="G1437" s="90"/>
      <c r="H1437" s="23"/>
      <c r="I1437" s="24"/>
      <c r="J1437" s="24"/>
      <c r="K1437" s="24"/>
      <c r="L1437" s="24"/>
      <c r="M1437" s="25"/>
      <c r="N1437" s="25"/>
      <c r="O1437" s="97"/>
    </row>
    <row r="1438" spans="1:15" ht="15.95" customHeight="1" x14ac:dyDescent="0.25">
      <c r="A1438" s="121"/>
      <c r="B1438" s="23"/>
      <c r="C1438" s="24"/>
      <c r="D1438" s="24"/>
      <c r="E1438" s="24"/>
      <c r="F1438" s="24"/>
      <c r="G1438" s="90"/>
      <c r="H1438" s="23"/>
      <c r="I1438" s="24"/>
      <c r="J1438" s="24"/>
      <c r="K1438" s="24"/>
      <c r="L1438" s="24"/>
      <c r="M1438" s="25"/>
      <c r="N1438" s="25"/>
    </row>
    <row r="1439" spans="1:15" ht="15.95" customHeight="1" x14ac:dyDescent="0.25">
      <c r="A1439" s="121"/>
      <c r="B1439" s="23"/>
      <c r="C1439" s="24"/>
      <c r="D1439" s="24"/>
      <c r="E1439" s="24"/>
      <c r="F1439" s="24"/>
      <c r="G1439" s="90"/>
      <c r="H1439" s="26"/>
      <c r="I1439" s="27"/>
      <c r="J1439" s="27"/>
      <c r="K1439" s="27"/>
      <c r="L1439" s="27"/>
      <c r="M1439" s="28"/>
      <c r="N1439" s="25"/>
    </row>
    <row r="1440" spans="1:15" ht="15.95" customHeight="1" x14ac:dyDescent="0.25">
      <c r="A1440" s="121"/>
      <c r="B1440" s="26"/>
      <c r="C1440" s="85"/>
      <c r="D1440" s="27"/>
      <c r="E1440" s="27"/>
      <c r="F1440" s="27"/>
      <c r="G1440" s="91"/>
      <c r="H1440" s="27"/>
      <c r="I1440" s="27"/>
      <c r="J1440" s="27"/>
      <c r="K1440" s="27"/>
      <c r="L1440" s="27"/>
      <c r="M1440" s="27"/>
      <c r="N1440" s="28"/>
    </row>
    <row r="1441" spans="1:15" ht="15.95" customHeight="1" x14ac:dyDescent="0.25">
      <c r="A1441" s="121"/>
      <c r="B1441" s="23"/>
      <c r="C1441" s="24"/>
      <c r="D1441" s="24"/>
      <c r="E1441" s="24"/>
      <c r="F1441" s="24"/>
      <c r="G1441" s="24"/>
      <c r="H1441" s="24"/>
      <c r="I1441" s="24"/>
      <c r="J1441" s="24"/>
      <c r="K1441" s="24"/>
      <c r="L1441" s="24"/>
      <c r="M1441" s="24"/>
      <c r="N1441" s="25"/>
    </row>
    <row r="1442" spans="1:15" ht="15.95" customHeight="1" x14ac:dyDescent="0.25">
      <c r="A1442" s="121"/>
      <c r="B1442" s="683" t="s">
        <v>204</v>
      </c>
      <c r="C1442" s="684"/>
      <c r="D1442" s="684"/>
      <c r="E1442" s="684"/>
      <c r="F1442" s="684"/>
      <c r="G1442" s="684"/>
      <c r="H1442" s="684"/>
      <c r="I1442" s="684"/>
      <c r="J1442" s="684"/>
      <c r="K1442" s="684"/>
      <c r="L1442" s="684"/>
      <c r="M1442" s="684"/>
      <c r="N1442" s="685"/>
    </row>
    <row r="1443" spans="1:15" ht="15.95" customHeight="1" x14ac:dyDescent="0.25">
      <c r="A1443" s="121"/>
      <c r="B1443" s="23"/>
      <c r="C1443" s="24"/>
      <c r="D1443" s="24"/>
      <c r="E1443" s="24"/>
      <c r="F1443" s="31"/>
      <c r="G1443" s="87"/>
      <c r="H1443" s="31"/>
      <c r="I1443" s="31"/>
      <c r="J1443" s="24"/>
      <c r="K1443" s="24"/>
      <c r="L1443" s="24"/>
      <c r="M1443" s="24"/>
      <c r="N1443" s="25"/>
    </row>
    <row r="1444" spans="1:15" ht="15.95" customHeight="1" x14ac:dyDescent="0.25">
      <c r="A1444" s="121"/>
      <c r="B1444" s="23"/>
      <c r="C1444" s="638" t="s">
        <v>37</v>
      </c>
      <c r="D1444" s="639"/>
      <c r="E1444" s="640"/>
      <c r="F1444" s="31"/>
      <c r="G1444" s="87"/>
      <c r="H1444" s="641" t="s">
        <v>28</v>
      </c>
      <c r="I1444" s="642"/>
      <c r="J1444" s="39">
        <f>+$D$1464-SUMIF($H$1450:$H$1468,"&lt;"&amp;$M$4,$K$1450:$K$1468)</f>
        <v>0</v>
      </c>
      <c r="K1444" s="24"/>
      <c r="L1444" s="24"/>
      <c r="M1444" s="24"/>
      <c r="N1444" s="25"/>
    </row>
    <row r="1445" spans="1:15" ht="15.95" customHeight="1" x14ac:dyDescent="0.25">
      <c r="A1445" s="121"/>
      <c r="B1445" s="23"/>
      <c r="C1445" s="58"/>
      <c r="D1445" s="664"/>
      <c r="E1445" s="665"/>
      <c r="F1445" s="31"/>
      <c r="G1445" s="87"/>
      <c r="H1445" s="645" t="s">
        <v>29</v>
      </c>
      <c r="I1445" s="646"/>
      <c r="J1445" s="40">
        <f>+$D$1463</f>
        <v>44872</v>
      </c>
      <c r="K1445" s="24"/>
      <c r="L1445" s="24"/>
      <c r="M1445" s="24"/>
      <c r="N1445" s="25"/>
    </row>
    <row r="1446" spans="1:15" ht="15.95" customHeight="1" x14ac:dyDescent="0.25">
      <c r="A1446" s="121"/>
      <c r="B1446" s="23"/>
      <c r="C1446" s="59" t="s">
        <v>25</v>
      </c>
      <c r="D1446" s="681"/>
      <c r="E1446" s="682"/>
      <c r="F1446" s="31"/>
      <c r="G1446" s="87"/>
      <c r="H1446" s="649" t="s">
        <v>30</v>
      </c>
      <c r="I1446" s="650"/>
      <c r="J1446" s="42" t="s">
        <v>357</v>
      </c>
      <c r="K1446" s="24"/>
      <c r="L1446" s="24"/>
      <c r="M1446" s="24"/>
      <c r="N1446" s="25"/>
    </row>
    <row r="1447" spans="1:15" ht="15.95" customHeight="1" x14ac:dyDescent="0.25">
      <c r="A1447" s="121"/>
      <c r="B1447" s="23"/>
      <c r="C1447" s="59" t="s">
        <v>6</v>
      </c>
      <c r="D1447" s="681" t="s">
        <v>257</v>
      </c>
      <c r="E1447" s="682"/>
      <c r="F1447" s="31"/>
      <c r="G1447" s="87"/>
      <c r="H1447" s="24"/>
      <c r="I1447" s="24"/>
      <c r="J1447" s="24"/>
      <c r="K1447" s="24"/>
      <c r="L1447" s="24"/>
      <c r="M1447" s="24"/>
      <c r="N1447" s="25"/>
    </row>
    <row r="1448" spans="1:15" ht="15.95" customHeight="1" x14ac:dyDescent="0.25">
      <c r="A1448" s="121"/>
      <c r="B1448" s="23"/>
      <c r="C1448" s="59" t="s">
        <v>8</v>
      </c>
      <c r="D1448" s="681" t="s">
        <v>17</v>
      </c>
      <c r="E1448" s="682"/>
      <c r="F1448" s="31"/>
      <c r="G1448" s="87"/>
      <c r="H1448" s="651" t="s">
        <v>41</v>
      </c>
      <c r="I1448" s="652"/>
      <c r="J1448" s="652"/>
      <c r="K1448" s="652"/>
      <c r="L1448" s="653"/>
      <c r="M1448" s="24"/>
      <c r="N1448" s="25"/>
    </row>
    <row r="1449" spans="1:15" ht="15.95" customHeight="1" x14ac:dyDescent="0.25">
      <c r="A1449" s="121"/>
      <c r="B1449" s="23"/>
      <c r="C1449" s="59" t="s">
        <v>33</v>
      </c>
      <c r="D1449" s="132" t="s">
        <v>325</v>
      </c>
      <c r="E1449" s="274">
        <v>1</v>
      </c>
      <c r="F1449" s="281">
        <f>+E1449*J1444</f>
        <v>0</v>
      </c>
      <c r="G1449" s="87"/>
      <c r="H1449" s="126" t="s">
        <v>0</v>
      </c>
      <c r="I1449" s="127" t="s">
        <v>2</v>
      </c>
      <c r="J1449" s="127" t="s">
        <v>3</v>
      </c>
      <c r="K1449" s="127" t="s">
        <v>4</v>
      </c>
      <c r="L1449" s="128" t="s">
        <v>5</v>
      </c>
      <c r="M1449" s="127" t="s">
        <v>44</v>
      </c>
      <c r="N1449" s="25"/>
    </row>
    <row r="1450" spans="1:15" ht="15.95" customHeight="1" x14ac:dyDescent="0.25">
      <c r="A1450" s="121"/>
      <c r="B1450" s="23"/>
      <c r="C1450" s="59" t="s">
        <v>34</v>
      </c>
      <c r="D1450" s="681" t="s">
        <v>35</v>
      </c>
      <c r="E1450" s="682"/>
      <c r="F1450" s="31"/>
      <c r="G1450" s="87"/>
      <c r="H1450" s="45"/>
      <c r="I1450" s="46"/>
      <c r="J1450" s="46"/>
      <c r="K1450" s="46"/>
      <c r="L1450" s="47"/>
      <c r="M1450" s="23"/>
      <c r="N1450" s="25"/>
    </row>
    <row r="1451" spans="1:15" ht="15.95" customHeight="1" x14ac:dyDescent="0.25">
      <c r="A1451" s="121"/>
      <c r="B1451" s="23"/>
      <c r="C1451" s="79" t="s">
        <v>38</v>
      </c>
      <c r="D1451" s="130"/>
      <c r="E1451" s="131"/>
      <c r="F1451" s="31"/>
      <c r="G1451" s="87"/>
      <c r="H1451" s="48">
        <f>+$D$1462</f>
        <v>43411</v>
      </c>
      <c r="I1451" s="136"/>
      <c r="J1451" s="49"/>
      <c r="K1451" s="49"/>
      <c r="L1451" s="50">
        <f>+D1464</f>
        <v>200000</v>
      </c>
      <c r="M1451" s="93">
        <f>-L1451</f>
        <v>-200000</v>
      </c>
      <c r="N1451" s="25"/>
    </row>
    <row r="1452" spans="1:15" ht="20.100000000000001" customHeight="1" x14ac:dyDescent="0.25">
      <c r="A1452" s="121"/>
      <c r="B1452" s="23"/>
      <c r="C1452" s="59"/>
      <c r="D1452" s="132"/>
      <c r="E1452" s="133"/>
      <c r="F1452" s="31"/>
      <c r="G1452" s="87"/>
      <c r="H1452" s="51">
        <f>IF(DAY(H1451)=DAY($H$1451),IF(WEEKDAY(EDATE(H1451,$D$1465),3)&lt;5,EDATE(H1451,$D$1465),WORKDAY(EDATE(H1451,$D$1465),1)),IF(WEEKDAY(EDATE($H$1451,$D$1465*COUNT($H$1451:H1451)),3)&lt;5,EDATE($H$1451,$D$1465*COUNT($H$1451:H1451)),WORKDAY(EDATE($H$1451,$D$1465*COUNT($H$1451:H1451)),1)))</f>
        <v>43503</v>
      </c>
      <c r="I1452" s="137" t="s">
        <v>7</v>
      </c>
      <c r="J1452" s="52">
        <f t="shared" ref="J1452:J1467" si="135">+(($D$1467/365)*(H1452-H1451))*L1451</f>
        <v>5041.0958904109602</v>
      </c>
      <c r="K1452" s="52">
        <f>+IF(OR(I1452="A + C",I1452="A"),$L$1451*$D$1468,0)</f>
        <v>0</v>
      </c>
      <c r="L1452" s="53">
        <f t="shared" ref="L1452:L1467" si="136">+L1451-K1452</f>
        <v>200000</v>
      </c>
      <c r="M1452" s="94">
        <f t="shared" ref="M1452:M1467" si="137">+J1452+K1452</f>
        <v>5041.0958904109602</v>
      </c>
      <c r="N1452" s="25"/>
    </row>
    <row r="1453" spans="1:15" ht="15.95" customHeight="1" x14ac:dyDescent="0.25">
      <c r="A1453" s="121"/>
      <c r="B1453" s="23"/>
      <c r="C1453" s="60"/>
      <c r="D1453" s="134"/>
      <c r="E1453" s="135"/>
      <c r="F1453" s="34"/>
      <c r="G1453" s="88"/>
      <c r="H1453" s="51">
        <f>IF(DAY(H1452)=DAY($H$1451),IF(WEEKDAY(EDATE(H1452,$D$1465),3)&lt;5,EDATE(H1452,$D$1465),WORKDAY(EDATE(H1452,$D$1465),1)),IF(WEEKDAY(EDATE($H$1451,$D$1465*COUNT($H$1451:H1452)),3)&lt;5,EDATE($H$1451,$D$1465*COUNT($H$1451:H1452)),WORKDAY(EDATE($H$1451,$D$1465*COUNT($H$1451:H1452)),1)))</f>
        <v>43592</v>
      </c>
      <c r="I1453" s="137" t="s">
        <v>7</v>
      </c>
      <c r="J1453" s="52">
        <f t="shared" si="135"/>
        <v>4876.7123287671238</v>
      </c>
      <c r="K1453" s="52">
        <f t="shared" ref="K1453:K1467" si="138">+IF(OR(I1453="A + C",I1453="A"),$D$1464*$D$1468,0)</f>
        <v>0</v>
      </c>
      <c r="L1453" s="53">
        <f t="shared" si="136"/>
        <v>200000</v>
      </c>
      <c r="M1453" s="94">
        <f t="shared" si="137"/>
        <v>4876.7123287671238</v>
      </c>
      <c r="N1453" s="25"/>
    </row>
    <row r="1454" spans="1:15" ht="20.100000000000001" customHeight="1" x14ac:dyDescent="0.25">
      <c r="A1454" s="121"/>
      <c r="B1454" s="23"/>
      <c r="C1454" s="60"/>
      <c r="D1454" s="55" t="str">
        <f>+B1442</f>
        <v>Metalurgica Sergio Strapazzon II</v>
      </c>
      <c r="E1454" s="64"/>
      <c r="F1454" s="34"/>
      <c r="G1454" s="88">
        <f>+J1444</f>
        <v>0</v>
      </c>
      <c r="H1454" s="51">
        <f>IF(DAY(H1453)=DAY($H$1451),IF(WEEKDAY(EDATE(H1453,$D$1465),3)&lt;5,EDATE(H1453,$D$1465),WORKDAY(EDATE(H1453,$D$1465),1)),IF(WEEKDAY(EDATE($H$1451,$D$1465*COUNT($H$1451:H1453)),3)&lt;5,EDATE($H$1451,$D$1465*COUNT($H$1451:H1453)),WORKDAY(EDATE($H$1451,$D$1465*COUNT($H$1451:H1453)),1)))</f>
        <v>43684</v>
      </c>
      <c r="I1454" s="137" t="s">
        <v>7</v>
      </c>
      <c r="J1454" s="52">
        <f t="shared" si="135"/>
        <v>5041.0958904109602</v>
      </c>
      <c r="K1454" s="52">
        <f t="shared" si="138"/>
        <v>0</v>
      </c>
      <c r="L1454" s="53">
        <f t="shared" si="136"/>
        <v>200000</v>
      </c>
      <c r="M1454" s="94">
        <f t="shared" si="137"/>
        <v>5041.0958904109602</v>
      </c>
      <c r="N1454" s="25"/>
    </row>
    <row r="1455" spans="1:15" ht="15.95" customHeight="1" x14ac:dyDescent="0.25">
      <c r="A1455" s="121"/>
      <c r="B1455" s="32"/>
      <c r="D1455" s="644"/>
      <c r="E1455" s="660"/>
      <c r="F1455" s="34"/>
      <c r="G1455" s="88"/>
      <c r="H1455" s="51">
        <f>IF(DAY(H1454)=DAY($H$1451),IF(WEEKDAY(EDATE(H1454,$D$1465),3)&lt;5,EDATE(H1454,$D$1465),WORKDAY(EDATE(H1454,$D$1465),1)),IF(WEEKDAY(EDATE($H$1451,$D$1465*COUNT($H$1451:H1454)),3)&lt;5,EDATE($H$1451,$D$1465*COUNT($H$1451:H1454)),WORKDAY(EDATE($H$1451,$D$1465*COUNT($H$1451:H1454)),1)))</f>
        <v>43776</v>
      </c>
      <c r="I1455" s="137" t="s">
        <v>7</v>
      </c>
      <c r="J1455" s="52">
        <f t="shared" si="135"/>
        <v>5041.0958904109602</v>
      </c>
      <c r="K1455" s="52">
        <f t="shared" si="138"/>
        <v>0</v>
      </c>
      <c r="L1455" s="53">
        <f t="shared" si="136"/>
        <v>200000</v>
      </c>
      <c r="M1455" s="94">
        <f t="shared" si="137"/>
        <v>5041.0958904109602</v>
      </c>
      <c r="N1455" s="25"/>
    </row>
    <row r="1456" spans="1:15" ht="15.95" customHeight="1" x14ac:dyDescent="0.25">
      <c r="A1456" s="121"/>
      <c r="B1456" s="23"/>
      <c r="C1456" s="638" t="s">
        <v>36</v>
      </c>
      <c r="D1456" s="640"/>
      <c r="E1456" s="36"/>
      <c r="F1456" s="34"/>
      <c r="G1456" s="88"/>
      <c r="H1456" s="51">
        <f>IF(DAY(H1455)=DAY($H$1451),IF(WEEKDAY(EDATE(H1455,$D$1465),3)&lt;5,EDATE(H1455,$D$1465),WORKDAY(EDATE(H1455,$D$1465),1)),IF(WEEKDAY(EDATE($H$1451,$D$1465*COUNT($H$1451:H1455)),3)&lt;5,EDATE($H$1451,$D$1465*COUNT($H$1451:H1455)),WORKDAY(EDATE($H$1451,$D$1465*COUNT($H$1451:H1455)),1)))</f>
        <v>43868</v>
      </c>
      <c r="I1456" s="137" t="s">
        <v>7</v>
      </c>
      <c r="J1456" s="52">
        <f t="shared" si="135"/>
        <v>5041.0958904109602</v>
      </c>
      <c r="K1456" s="52">
        <f t="shared" si="138"/>
        <v>0</v>
      </c>
      <c r="L1456" s="53">
        <f t="shared" si="136"/>
        <v>200000</v>
      </c>
      <c r="M1456" s="94">
        <f t="shared" si="137"/>
        <v>5041.0958904109602</v>
      </c>
      <c r="N1456" s="25"/>
      <c r="O1456" s="194" t="str">
        <f>+D1604</f>
        <v>ON Pyme CNV Garantizada</v>
      </c>
    </row>
    <row r="1457" spans="1:15" ht="15.95" customHeight="1" x14ac:dyDescent="0.25">
      <c r="A1457" s="121"/>
      <c r="B1457" s="23"/>
      <c r="C1457" s="59"/>
      <c r="D1457" s="62"/>
      <c r="E1457" s="36"/>
      <c r="F1457" s="36"/>
      <c r="G1457" s="89"/>
      <c r="H1457" s="51">
        <f>IF(DAY(H1456)=DAY($H$1451),IF(WEEKDAY(EDATE(H1456,$D$1465),3)&lt;5,EDATE(H1456,$D$1465),WORKDAY(EDATE(H1456,$D$1465),1)),IF(WEEKDAY(EDATE($H$1451,$D$1465*COUNT($H$1451:H1456)),3)&lt;5,EDATE($H$1451,$D$1465*COUNT($H$1451:H1456)),WORKDAY(EDATE($H$1451,$D$1465*COUNT($H$1451:H1456)),1)))</f>
        <v>43958</v>
      </c>
      <c r="I1457" s="137" t="s">
        <v>7</v>
      </c>
      <c r="J1457" s="52">
        <f t="shared" si="135"/>
        <v>4931.5068493150693</v>
      </c>
      <c r="K1457" s="52">
        <f t="shared" si="138"/>
        <v>0</v>
      </c>
      <c r="L1457" s="53">
        <f t="shared" si="136"/>
        <v>200000</v>
      </c>
      <c r="M1457" s="94">
        <f t="shared" si="137"/>
        <v>4931.5068493150693</v>
      </c>
      <c r="N1457" s="25"/>
    </row>
    <row r="1458" spans="1:15" ht="15.95" customHeight="1" x14ac:dyDescent="0.25">
      <c r="A1458" s="121"/>
      <c r="B1458" s="23"/>
      <c r="C1458" s="59" t="s">
        <v>9</v>
      </c>
      <c r="D1458" s="129" t="s">
        <v>49</v>
      </c>
      <c r="E1458" s="36"/>
      <c r="F1458" s="36"/>
      <c r="G1458" s="89"/>
      <c r="H1458" s="51">
        <f>IF(DAY(H1457)=DAY($H$1451),IF(WEEKDAY(EDATE(H1457,$D$1465),3)&lt;5,EDATE(H1457,$D$1465),WORKDAY(EDATE(H1457,$D$1465),1)),IF(WEEKDAY(EDATE($H$1451,$D$1465*COUNT($H$1451:H1457)),3)&lt;5,EDATE($H$1451,$D$1465*COUNT($H$1451:H1457)),WORKDAY(EDATE($H$1451,$D$1465*COUNT($H$1451:H1457)),1)))</f>
        <v>44050</v>
      </c>
      <c r="I1458" s="137" t="s">
        <v>13</v>
      </c>
      <c r="J1458" s="52">
        <f t="shared" si="135"/>
        <v>5041.0958904109602</v>
      </c>
      <c r="K1458" s="52">
        <f t="shared" si="138"/>
        <v>20000</v>
      </c>
      <c r="L1458" s="53">
        <f t="shared" si="136"/>
        <v>180000</v>
      </c>
      <c r="M1458" s="94">
        <f t="shared" si="137"/>
        <v>25041.095890410961</v>
      </c>
      <c r="N1458" s="25"/>
      <c r="O1458" s="194" t="str">
        <f>+IF(J1602="vencida",IF(D1604='Reporte - Oscuro'!$C$40,'Reporte - Oscuro'!$C$40&amp;" vencida",IF(D1604='Reporte - Oscuro'!$C$41,'Reporte - Oscuro'!$C$41&amp;" vencida",IF(D1604='Reporte - Oscuro'!$C$42,'Reporte - Oscuro'!$C$42&amp;" vencida",'Reporte - Oscuro'!$C$43&amp;" vencida"))),D1604&amp;" vigente")</f>
        <v>ON Pyme CNV Garantizada vencida</v>
      </c>
    </row>
    <row r="1459" spans="1:15" ht="15.95" customHeight="1" x14ac:dyDescent="0.25">
      <c r="A1459" s="121"/>
      <c r="B1459" s="23"/>
      <c r="C1459" s="59" t="s">
        <v>51</v>
      </c>
      <c r="D1459" s="138" t="s">
        <v>235</v>
      </c>
      <c r="E1459" s="36"/>
      <c r="F1459" s="36"/>
      <c r="G1459" s="89"/>
      <c r="H1459" s="51">
        <f>IF(DAY(H1458)=DAY($H$1451),IF(WEEKDAY(EDATE(H1458,$D$1465),3)&lt;5,EDATE(H1458,$D$1465),WORKDAY(EDATE(H1458,$D$1465),1)),IF(WEEKDAY(EDATE($H$1451,$D$1465*COUNT($H$1451:H1458)),3)&lt;5,EDATE($H$1451,$D$1465*COUNT($H$1451:H1458)),WORKDAY(EDATE($H$1451,$D$1465*COUNT($H$1451:H1458)),1)))</f>
        <v>44144</v>
      </c>
      <c r="I1459" s="137" t="s">
        <v>13</v>
      </c>
      <c r="J1459" s="52">
        <f t="shared" si="135"/>
        <v>4635.6164383561645</v>
      </c>
      <c r="K1459" s="52">
        <f t="shared" si="138"/>
        <v>20000</v>
      </c>
      <c r="L1459" s="53">
        <f t="shared" si="136"/>
        <v>160000</v>
      </c>
      <c r="M1459" s="94">
        <f t="shared" si="137"/>
        <v>24635.616438356163</v>
      </c>
      <c r="N1459" s="25"/>
    </row>
    <row r="1460" spans="1:15" ht="15.95" customHeight="1" x14ac:dyDescent="0.25">
      <c r="A1460" s="121"/>
      <c r="B1460" s="23"/>
      <c r="C1460" s="59" t="s">
        <v>52</v>
      </c>
      <c r="D1460" s="138" t="s">
        <v>49</v>
      </c>
      <c r="E1460" s="36"/>
      <c r="F1460" s="36"/>
      <c r="G1460" s="89"/>
      <c r="H1460" s="51">
        <f>IF(DAY(H1459)=DAY($H$1451),IF(WEEKDAY(EDATE(H1459,$D$1465),3)&lt;5,EDATE(H1459,$D$1465),WORKDAY(EDATE(H1459,$D$1465),1)),IF(WEEKDAY(EDATE($H$1451,$D$1465*COUNT($H$1451:H1459)),3)&lt;5,EDATE($H$1451,$D$1465*COUNT($H$1451:H1459)),WORKDAY(EDATE($H$1451,$D$1465*COUNT($H$1451:H1459)),1)))</f>
        <v>44235</v>
      </c>
      <c r="I1460" s="137" t="s">
        <v>13</v>
      </c>
      <c r="J1460" s="52">
        <f t="shared" si="135"/>
        <v>3989.0410958904117</v>
      </c>
      <c r="K1460" s="52">
        <f t="shared" si="138"/>
        <v>20000</v>
      </c>
      <c r="L1460" s="53">
        <f t="shared" si="136"/>
        <v>140000</v>
      </c>
      <c r="M1460" s="94">
        <f t="shared" si="137"/>
        <v>23989.04109589041</v>
      </c>
      <c r="N1460" s="25"/>
    </row>
    <row r="1461" spans="1:15" ht="15.95" customHeight="1" x14ac:dyDescent="0.25">
      <c r="A1461" s="121"/>
      <c r="B1461" s="23"/>
      <c r="C1461" s="59" t="s">
        <v>10</v>
      </c>
      <c r="D1461" s="139">
        <v>43406</v>
      </c>
      <c r="E1461" s="36"/>
      <c r="F1461" s="36"/>
      <c r="G1461" s="89"/>
      <c r="H1461" s="51">
        <f>IF(DAY(H1460)=DAY($H$1451),IF(WEEKDAY(EDATE(H1460,$D$1465),3)&lt;5,EDATE(H1460,$D$1465),WORKDAY(EDATE(H1460,$D$1465),1)),IF(WEEKDAY(EDATE($H$1451,$D$1465*COUNT($H$1451:H1460)),3)&lt;5,EDATE($H$1451,$D$1465*COUNT($H$1451:H1460)),WORKDAY(EDATE($H$1451,$D$1465*COUNT($H$1451:H1460)),1)))</f>
        <v>44323</v>
      </c>
      <c r="I1461" s="137" t="s">
        <v>13</v>
      </c>
      <c r="J1461" s="52">
        <f t="shared" si="135"/>
        <v>3375.3424657534251</v>
      </c>
      <c r="K1461" s="52">
        <f t="shared" si="138"/>
        <v>20000</v>
      </c>
      <c r="L1461" s="53">
        <f t="shared" si="136"/>
        <v>120000</v>
      </c>
      <c r="M1461" s="94">
        <f t="shared" si="137"/>
        <v>23375.342465753427</v>
      </c>
      <c r="N1461" s="25"/>
    </row>
    <row r="1462" spans="1:15" ht="15.95" customHeight="1" x14ac:dyDescent="0.25">
      <c r="A1462" s="121"/>
      <c r="B1462" s="23"/>
      <c r="C1462" s="59" t="s">
        <v>11</v>
      </c>
      <c r="D1462" s="139">
        <v>43411</v>
      </c>
      <c r="E1462" s="41"/>
      <c r="F1462" s="24"/>
      <c r="G1462" s="90"/>
      <c r="H1462" s="51">
        <f>IF(DAY(H1461)=DAY($H$1451),IF(WEEKDAY(EDATE(H1461,$D$1465),3)&lt;5,EDATE(H1461,$D$1465),WORKDAY(EDATE(H1461,$D$1465),1)),IF(WEEKDAY(EDATE($H$1451,$D$1465*COUNT($H$1451:H1461)),3)&lt;5,EDATE($H$1451,$D$1465*COUNT($H$1451:H1461)),WORKDAY(EDATE($H$1451,$D$1465*COUNT($H$1451:H1461)),1)))</f>
        <v>44417</v>
      </c>
      <c r="I1462" s="137" t="s">
        <v>13</v>
      </c>
      <c r="J1462" s="52">
        <f t="shared" si="135"/>
        <v>3090.41095890411</v>
      </c>
      <c r="K1462" s="52">
        <f t="shared" si="138"/>
        <v>20000</v>
      </c>
      <c r="L1462" s="53">
        <f t="shared" si="136"/>
        <v>100000</v>
      </c>
      <c r="M1462" s="94">
        <f t="shared" si="137"/>
        <v>23090.410958904111</v>
      </c>
      <c r="N1462" s="25"/>
    </row>
    <row r="1463" spans="1:15" ht="15.95" customHeight="1" x14ac:dyDescent="0.25">
      <c r="A1463" s="121"/>
      <c r="B1463" s="23"/>
      <c r="C1463" s="59" t="s">
        <v>12</v>
      </c>
      <c r="D1463" s="139">
        <v>44872</v>
      </c>
      <c r="E1463" s="36"/>
      <c r="F1463" s="24"/>
      <c r="G1463" s="90"/>
      <c r="H1463" s="51">
        <f>IF(DAY(H1462)=DAY($H$1451),IF(WEEKDAY(EDATE(H1462,$D$1465),3)&lt;5,EDATE(H1462,$D$1465),WORKDAY(EDATE(H1462,$D$1465),1)),IF(WEEKDAY(EDATE($H$1451,$D$1465*COUNT($H$1451:H1462)),3)&lt;5,EDATE($H$1451,$D$1465*COUNT($H$1451:H1462)),WORKDAY(EDATE($H$1451,$D$1465*COUNT($H$1451:H1462)),1)))</f>
        <v>44508</v>
      </c>
      <c r="I1463" s="137" t="s">
        <v>13</v>
      </c>
      <c r="J1463" s="52">
        <f t="shared" si="135"/>
        <v>2493.1506849315074</v>
      </c>
      <c r="K1463" s="52">
        <f t="shared" si="138"/>
        <v>20000</v>
      </c>
      <c r="L1463" s="53">
        <f t="shared" si="136"/>
        <v>80000</v>
      </c>
      <c r="M1463" s="94">
        <f t="shared" si="137"/>
        <v>22493.150684931508</v>
      </c>
      <c r="N1463" s="25"/>
      <c r="O1463" s="97">
        <f>+M1607</f>
        <v>-500000</v>
      </c>
    </row>
    <row r="1464" spans="1:15" ht="15.95" customHeight="1" x14ac:dyDescent="0.25">
      <c r="A1464" s="121"/>
      <c r="B1464" s="23"/>
      <c r="C1464" s="59" t="s">
        <v>27</v>
      </c>
      <c r="D1464" s="140">
        <v>200000</v>
      </c>
      <c r="E1464" s="43"/>
      <c r="F1464" s="24"/>
      <c r="G1464" s="90"/>
      <c r="H1464" s="51">
        <f>IF(DAY(H1463)=DAY($H$1451),IF(WEEKDAY(EDATE(H1463,$D$1465),3)&lt;5,EDATE(H1463,$D$1465),WORKDAY(EDATE(H1463,$D$1465),1)),IF(WEEKDAY(EDATE($H$1451,$D$1465*COUNT($H$1451:H1463)),3)&lt;5,EDATE($H$1451,$D$1465*COUNT($H$1451:H1463)),WORKDAY(EDATE($H$1451,$D$1465*COUNT($H$1451:H1463)),1)))</f>
        <v>44599</v>
      </c>
      <c r="I1464" s="137" t="s">
        <v>13</v>
      </c>
      <c r="J1464" s="52">
        <f t="shared" si="135"/>
        <v>1994.5205479452059</v>
      </c>
      <c r="K1464" s="52">
        <f t="shared" si="138"/>
        <v>20000</v>
      </c>
      <c r="L1464" s="53">
        <f t="shared" si="136"/>
        <v>60000</v>
      </c>
      <c r="M1464" s="94">
        <f t="shared" si="137"/>
        <v>21994.520547945205</v>
      </c>
      <c r="N1464" s="25"/>
      <c r="O1464" s="97">
        <f t="shared" ref="O1464:O1475" si="139">+M1608+O1463</f>
        <v>-446382.87671232875</v>
      </c>
    </row>
    <row r="1465" spans="1:15" ht="15.95" customHeight="1" x14ac:dyDescent="0.25">
      <c r="A1465" s="121"/>
      <c r="B1465" s="23"/>
      <c r="C1465" s="59" t="s">
        <v>26</v>
      </c>
      <c r="D1465" s="140">
        <v>3</v>
      </c>
      <c r="E1465" s="43"/>
      <c r="F1465" s="24"/>
      <c r="G1465" s="90"/>
      <c r="H1465" s="51">
        <f>IF(DAY(H1464)=DAY($H$1451),IF(WEEKDAY(EDATE(H1464,$D$1465),3)&lt;5,EDATE(H1464,$D$1465),WORKDAY(EDATE(H1464,$D$1465),1)),IF(WEEKDAY(EDATE($H$1451,$D$1465*COUNT($H$1451:H1464)),3)&lt;5,EDATE($H$1451,$D$1465*COUNT($H$1451:H1464)),WORKDAY(EDATE($H$1451,$D$1465*COUNT($H$1451:H1464)),1)))</f>
        <v>44690</v>
      </c>
      <c r="I1465" s="137" t="s">
        <v>13</v>
      </c>
      <c r="J1465" s="52">
        <f t="shared" si="135"/>
        <v>1495.8904109589043</v>
      </c>
      <c r="K1465" s="52">
        <f t="shared" si="138"/>
        <v>20000</v>
      </c>
      <c r="L1465" s="53">
        <f t="shared" si="136"/>
        <v>40000</v>
      </c>
      <c r="M1465" s="94">
        <f t="shared" si="137"/>
        <v>21495.890410958906</v>
      </c>
      <c r="N1465" s="25"/>
      <c r="O1465" s="97">
        <f t="shared" si="139"/>
        <v>-393883.16712328768</v>
      </c>
    </row>
    <row r="1466" spans="1:15" ht="15.95" customHeight="1" x14ac:dyDescent="0.25">
      <c r="A1466" s="121"/>
      <c r="B1466" s="23"/>
      <c r="C1466" s="59" t="s">
        <v>19</v>
      </c>
      <c r="D1466" s="141" t="s">
        <v>50</v>
      </c>
      <c r="E1466" s="43"/>
      <c r="F1466" s="24"/>
      <c r="G1466" s="90"/>
      <c r="H1466" s="51">
        <f>IF(DAY(H1465)=DAY($H$1451),IF(WEEKDAY(EDATE(H1465,$D$1465),3)&lt;5,EDATE(H1465,$D$1465),WORKDAY(EDATE(H1465,$D$1465),1)),IF(WEEKDAY(EDATE($H$1451,$D$1465*COUNT($H$1451:H1465)),3)&lt;5,EDATE($H$1451,$D$1465*COUNT($H$1451:H1465)),WORKDAY(EDATE($H$1451,$D$1465*COUNT($H$1451:H1465)),1)))</f>
        <v>44781</v>
      </c>
      <c r="I1466" s="137" t="s">
        <v>13</v>
      </c>
      <c r="J1466" s="52">
        <f t="shared" si="135"/>
        <v>997.26027397260293</v>
      </c>
      <c r="K1466" s="52">
        <f t="shared" si="138"/>
        <v>20000</v>
      </c>
      <c r="L1466" s="53">
        <f t="shared" si="136"/>
        <v>20000</v>
      </c>
      <c r="M1466" s="94">
        <f t="shared" si="137"/>
        <v>20997.260273972603</v>
      </c>
      <c r="N1466" s="25"/>
      <c r="O1466" s="97">
        <f t="shared" si="139"/>
        <v>-342150.16876712331</v>
      </c>
    </row>
    <row r="1467" spans="1:15" ht="15.95" customHeight="1" x14ac:dyDescent="0.25">
      <c r="A1467" s="121"/>
      <c r="B1467" s="23"/>
      <c r="C1467" s="59" t="s">
        <v>14</v>
      </c>
      <c r="D1467" s="142">
        <v>0.1</v>
      </c>
      <c r="E1467" s="44"/>
      <c r="F1467" s="24"/>
      <c r="G1467" s="90"/>
      <c r="H1467" s="51">
        <f>IF(DAY(H1466)=DAY($H$1451),IF(WEEKDAY(EDATE(H1466,$D$1465),3)&lt;5,EDATE(H1466,$D$1465),WORKDAY(EDATE(H1466,$D$1465),1)),IF(WEEKDAY(EDATE($H$1451,$D$1465*COUNT($H$1451:H1466)),3)&lt;5,EDATE($H$1451,$D$1465*COUNT($H$1451:H1466)),WORKDAY(EDATE($H$1451,$D$1465*COUNT($H$1451:H1466)),1)))</f>
        <v>44872</v>
      </c>
      <c r="I1467" s="137" t="s">
        <v>13</v>
      </c>
      <c r="J1467" s="52">
        <f t="shared" si="135"/>
        <v>498.63013698630147</v>
      </c>
      <c r="K1467" s="52">
        <f t="shared" si="138"/>
        <v>20000</v>
      </c>
      <c r="L1467" s="53">
        <f t="shared" si="136"/>
        <v>0</v>
      </c>
      <c r="M1467" s="94">
        <f t="shared" si="137"/>
        <v>20498.630136986303</v>
      </c>
      <c r="N1467" s="25"/>
      <c r="O1467" s="97">
        <f t="shared" si="139"/>
        <v>-291424.98630136991</v>
      </c>
    </row>
    <row r="1468" spans="1:15" ht="15.95" customHeight="1" x14ac:dyDescent="0.25">
      <c r="A1468" s="121"/>
      <c r="B1468" s="23"/>
      <c r="C1468" s="59" t="s">
        <v>93</v>
      </c>
      <c r="D1468" s="142">
        <v>0.1</v>
      </c>
      <c r="E1468" s="24"/>
      <c r="F1468" s="24"/>
      <c r="G1468" s="90"/>
      <c r="H1468" s="54"/>
      <c r="I1468" s="144"/>
      <c r="J1468" s="55"/>
      <c r="K1468" s="56"/>
      <c r="L1468" s="57"/>
      <c r="M1468" s="95"/>
      <c r="N1468" s="25"/>
      <c r="O1468" s="97">
        <f t="shared" si="139"/>
        <v>-241795.30849315072</v>
      </c>
    </row>
    <row r="1469" spans="1:15" ht="15.95" customHeight="1" x14ac:dyDescent="0.25">
      <c r="A1469" s="121"/>
      <c r="B1469" s="23"/>
      <c r="C1469" s="63"/>
      <c r="D1469" s="145"/>
      <c r="E1469" s="24"/>
      <c r="F1469" s="24"/>
      <c r="G1469" s="90"/>
      <c r="H1469" s="24"/>
      <c r="I1469" s="24"/>
      <c r="J1469" s="24"/>
      <c r="K1469" s="24"/>
      <c r="L1469" s="24"/>
      <c r="M1469" s="24"/>
      <c r="N1469" s="25"/>
      <c r="O1469" s="97">
        <f t="shared" si="139"/>
        <v>-193162.49205479457</v>
      </c>
    </row>
    <row r="1470" spans="1:15" ht="15.95" customHeight="1" x14ac:dyDescent="0.25">
      <c r="A1470" s="121"/>
      <c r="B1470" s="23"/>
      <c r="C1470" s="24"/>
      <c r="D1470" s="24"/>
      <c r="E1470" s="24"/>
      <c r="F1470" s="24"/>
      <c r="G1470" s="90"/>
      <c r="H1470" s="680" t="s">
        <v>43</v>
      </c>
      <c r="I1470" s="680"/>
      <c r="J1470" s="92">
        <f>+J1444+(L1467*D1467)*($M$4-H1467)/365</f>
        <v>0</v>
      </c>
      <c r="K1470" s="92"/>
      <c r="L1470" s="24"/>
      <c r="M1470" s="24"/>
      <c r="N1470" s="25"/>
      <c r="O1470" s="97">
        <f t="shared" si="139"/>
        <v>-145329.19780821924</v>
      </c>
    </row>
    <row r="1471" spans="1:15" ht="15.95" customHeight="1" x14ac:dyDescent="0.25">
      <c r="A1471" s="121"/>
      <c r="B1471" s="23"/>
      <c r="C1471" s="24"/>
      <c r="D1471" s="24"/>
      <c r="E1471" s="24"/>
      <c r="F1471" s="24"/>
      <c r="G1471" s="90"/>
      <c r="H1471" s="657"/>
      <c r="I1471" s="657"/>
      <c r="J1471" s="392"/>
      <c r="K1471" s="24"/>
      <c r="L1471" s="33"/>
      <c r="M1471" s="33"/>
      <c r="N1471" s="25"/>
      <c r="O1471" s="97">
        <f t="shared" si="139"/>
        <v>-98690.104109589098</v>
      </c>
    </row>
    <row r="1472" spans="1:15" ht="15.95" customHeight="1" x14ac:dyDescent="0.25">
      <c r="A1472" s="121"/>
      <c r="B1472" s="23"/>
      <c r="C1472" s="24"/>
      <c r="D1472" s="24"/>
      <c r="E1472" s="24"/>
      <c r="F1472" s="24"/>
      <c r="G1472" s="90"/>
      <c r="H1472" s="24"/>
      <c r="I1472" s="24"/>
      <c r="J1472" s="24"/>
      <c r="K1472" s="24"/>
      <c r="L1472" s="24"/>
      <c r="M1472" s="24"/>
      <c r="N1472" s="25"/>
      <c r="O1472" s="97">
        <f t="shared" si="139"/>
        <v>-52997.871780821974</v>
      </c>
    </row>
    <row r="1473" spans="1:15" ht="15.95" customHeight="1" x14ac:dyDescent="0.25">
      <c r="A1473" s="121"/>
      <c r="B1473" s="23"/>
      <c r="C1473" s="24"/>
      <c r="D1473" s="24"/>
      <c r="E1473" s="24"/>
      <c r="F1473" s="24"/>
      <c r="G1473" s="90"/>
      <c r="H1473" s="638" t="s">
        <v>44</v>
      </c>
      <c r="I1473" s="639"/>
      <c r="J1473" s="639"/>
      <c r="K1473" s="639"/>
      <c r="L1473" s="639"/>
      <c r="M1473" s="640"/>
      <c r="N1473" s="25"/>
      <c r="O1473" s="97">
        <f t="shared" si="139"/>
        <v>-8303.6975342466321</v>
      </c>
    </row>
    <row r="1474" spans="1:15" ht="15.95" customHeight="1" x14ac:dyDescent="0.25">
      <c r="A1474" s="121"/>
      <c r="B1474" s="23"/>
      <c r="C1474" s="24"/>
      <c r="D1474" s="24"/>
      <c r="E1474" s="24"/>
      <c r="F1474" s="24"/>
      <c r="G1474" s="90"/>
      <c r="H1474" s="23"/>
      <c r="I1474" s="24"/>
      <c r="J1474" s="24"/>
      <c r="K1474" s="24"/>
      <c r="L1474" s="24"/>
      <c r="M1474" s="25"/>
      <c r="N1474" s="25"/>
      <c r="O1474" s="97">
        <f t="shared" si="139"/>
        <v>35392.418630136926</v>
      </c>
    </row>
    <row r="1475" spans="1:15" ht="15.95" customHeight="1" x14ac:dyDescent="0.25">
      <c r="A1475" s="121"/>
      <c r="B1475" s="23"/>
      <c r="C1475" s="24"/>
      <c r="D1475" s="24"/>
      <c r="E1475" s="24"/>
      <c r="F1475" s="24"/>
      <c r="G1475" s="90"/>
      <c r="H1475" s="23"/>
      <c r="I1475" s="24"/>
      <c r="J1475" s="24"/>
      <c r="K1475" s="24"/>
      <c r="L1475" s="24"/>
      <c r="M1475" s="25"/>
      <c r="N1475" s="25"/>
      <c r="O1475" s="97">
        <f t="shared" si="139"/>
        <v>78090.476712328702</v>
      </c>
    </row>
    <row r="1476" spans="1:15" ht="15.95" customHeight="1" x14ac:dyDescent="0.25">
      <c r="A1476" s="121"/>
      <c r="B1476" s="23"/>
      <c r="C1476" s="24"/>
      <c r="D1476" s="24"/>
      <c r="E1476" s="24"/>
      <c r="F1476" s="24"/>
      <c r="G1476" s="90"/>
      <c r="H1476" s="96"/>
      <c r="I1476" s="35"/>
      <c r="J1476" s="24"/>
      <c r="K1476" s="24"/>
      <c r="L1476" s="24"/>
      <c r="M1476" s="25"/>
      <c r="N1476" s="25"/>
      <c r="O1476" s="97"/>
    </row>
    <row r="1477" spans="1:15" ht="15.95" customHeight="1" x14ac:dyDescent="0.25">
      <c r="A1477" s="121"/>
      <c r="B1477" s="23"/>
      <c r="C1477" s="24"/>
      <c r="D1477" s="24"/>
      <c r="E1477" s="24"/>
      <c r="F1477" s="24"/>
      <c r="G1477" s="90"/>
      <c r="H1477" s="23"/>
      <c r="I1477" s="24"/>
      <c r="J1477" s="24"/>
      <c r="K1477" s="24"/>
      <c r="L1477" s="24"/>
      <c r="M1477" s="25"/>
      <c r="N1477" s="25"/>
    </row>
    <row r="1478" spans="1:15" ht="15.95" customHeight="1" x14ac:dyDescent="0.25">
      <c r="A1478" s="121"/>
      <c r="B1478" s="23"/>
      <c r="C1478" s="24"/>
      <c r="D1478" s="24"/>
      <c r="E1478" s="24"/>
      <c r="F1478" s="24"/>
      <c r="G1478" s="90"/>
      <c r="H1478" s="23"/>
      <c r="I1478" s="24"/>
      <c r="J1478" s="24"/>
      <c r="K1478" s="24"/>
      <c r="L1478" s="24"/>
      <c r="M1478" s="25"/>
      <c r="N1478" s="25"/>
    </row>
    <row r="1479" spans="1:15" ht="15.95" customHeight="1" x14ac:dyDescent="0.25">
      <c r="A1479" s="121"/>
      <c r="B1479" s="23"/>
      <c r="C1479" s="24"/>
      <c r="D1479" s="24"/>
      <c r="E1479" s="24"/>
      <c r="F1479" s="24"/>
      <c r="G1479" s="90"/>
      <c r="H1479" s="23"/>
      <c r="I1479" s="24"/>
      <c r="J1479" s="24"/>
      <c r="K1479" s="24"/>
      <c r="L1479" s="24"/>
      <c r="M1479" s="25"/>
      <c r="N1479" s="25"/>
    </row>
    <row r="1480" spans="1:15" ht="15.95" customHeight="1" x14ac:dyDescent="0.25">
      <c r="A1480" s="121"/>
      <c r="B1480" s="23"/>
      <c r="C1480" s="24"/>
      <c r="D1480" s="24"/>
      <c r="E1480" s="24"/>
      <c r="F1480" s="24"/>
      <c r="G1480" s="90"/>
      <c r="H1480" s="23"/>
      <c r="I1480" s="24"/>
      <c r="J1480" s="24"/>
      <c r="K1480" s="24"/>
      <c r="L1480" s="24"/>
      <c r="M1480" s="25"/>
      <c r="N1480" s="25"/>
    </row>
    <row r="1481" spans="1:15" ht="15.95" customHeight="1" x14ac:dyDescent="0.25">
      <c r="A1481" s="121"/>
      <c r="B1481" s="23"/>
      <c r="C1481" s="24"/>
      <c r="D1481" s="24"/>
      <c r="E1481" s="24"/>
      <c r="F1481" s="24"/>
      <c r="G1481" s="90"/>
      <c r="H1481" s="23"/>
      <c r="I1481" s="24"/>
      <c r="J1481" s="24"/>
      <c r="K1481" s="24"/>
      <c r="L1481" s="24"/>
      <c r="M1481" s="25"/>
      <c r="N1481" s="25"/>
    </row>
    <row r="1482" spans="1:15" ht="15.95" customHeight="1" x14ac:dyDescent="0.25">
      <c r="A1482" s="121"/>
      <c r="B1482" s="23"/>
      <c r="C1482" s="24"/>
      <c r="D1482" s="24"/>
      <c r="E1482" s="24"/>
      <c r="F1482" s="24"/>
      <c r="G1482" s="90"/>
      <c r="H1482" s="23"/>
      <c r="I1482" s="24"/>
      <c r="J1482" s="24"/>
      <c r="K1482" s="24"/>
      <c r="L1482" s="24"/>
      <c r="M1482" s="25"/>
      <c r="N1482" s="25"/>
    </row>
    <row r="1483" spans="1:15" ht="15.95" customHeight="1" x14ac:dyDescent="0.25">
      <c r="A1483" s="121"/>
      <c r="B1483" s="23"/>
      <c r="C1483" s="24"/>
      <c r="D1483" s="24"/>
      <c r="E1483" s="24"/>
      <c r="F1483" s="24"/>
      <c r="G1483" s="90"/>
      <c r="H1483" s="23"/>
      <c r="I1483" s="24"/>
      <c r="J1483" s="24"/>
      <c r="K1483" s="24"/>
      <c r="L1483" s="24"/>
      <c r="M1483" s="25"/>
      <c r="N1483" s="25"/>
    </row>
    <row r="1484" spans="1:15" ht="15.95" customHeight="1" x14ac:dyDescent="0.25">
      <c r="A1484" s="121"/>
      <c r="B1484" s="23"/>
      <c r="C1484" s="24"/>
      <c r="D1484" s="24"/>
      <c r="E1484" s="24"/>
      <c r="F1484" s="24"/>
      <c r="G1484" s="90"/>
      <c r="H1484" s="23"/>
      <c r="I1484" s="24"/>
      <c r="J1484" s="24"/>
      <c r="K1484" s="24"/>
      <c r="L1484" s="24"/>
      <c r="M1484" s="25"/>
      <c r="N1484" s="25"/>
    </row>
    <row r="1485" spans="1:15" ht="15.95" customHeight="1" x14ac:dyDescent="0.25">
      <c r="A1485" s="121"/>
      <c r="B1485" s="23"/>
      <c r="C1485" s="24"/>
      <c r="D1485" s="24"/>
      <c r="E1485" s="24"/>
      <c r="F1485" s="24"/>
      <c r="G1485" s="90"/>
      <c r="H1485" s="26"/>
      <c r="I1485" s="27"/>
      <c r="J1485" s="27"/>
      <c r="K1485" s="27"/>
      <c r="L1485" s="27"/>
      <c r="M1485" s="28"/>
      <c r="N1485" s="25"/>
    </row>
    <row r="1486" spans="1:15" ht="15.95" customHeight="1" x14ac:dyDescent="0.25">
      <c r="A1486" s="121"/>
      <c r="B1486" s="26"/>
      <c r="C1486" s="85"/>
      <c r="D1486" s="27"/>
      <c r="E1486" s="27"/>
      <c r="F1486" s="27"/>
      <c r="G1486" s="91"/>
      <c r="H1486" s="27"/>
      <c r="I1486" s="27"/>
      <c r="J1486" s="27"/>
      <c r="K1486" s="27"/>
      <c r="L1486" s="27"/>
      <c r="M1486" s="27"/>
      <c r="N1486" s="28"/>
    </row>
    <row r="1487" spans="1:15" ht="15.95" customHeight="1" x14ac:dyDescent="0.25">
      <c r="A1487" s="121"/>
      <c r="B1487" s="23"/>
      <c r="C1487" s="24"/>
      <c r="D1487" s="24"/>
      <c r="E1487" s="24"/>
      <c r="F1487" s="24"/>
      <c r="G1487" s="24"/>
      <c r="H1487" s="24"/>
      <c r="I1487" s="24"/>
      <c r="J1487" s="24"/>
      <c r="K1487" s="24"/>
      <c r="L1487" s="24"/>
      <c r="M1487" s="24"/>
      <c r="N1487" s="25"/>
    </row>
    <row r="1488" spans="1:15" ht="15.95" customHeight="1" x14ac:dyDescent="0.25">
      <c r="A1488" s="121"/>
      <c r="B1488" s="683" t="s">
        <v>205</v>
      </c>
      <c r="C1488" s="684"/>
      <c r="D1488" s="684"/>
      <c r="E1488" s="684"/>
      <c r="F1488" s="684"/>
      <c r="G1488" s="684"/>
      <c r="H1488" s="684"/>
      <c r="I1488" s="684"/>
      <c r="J1488" s="684"/>
      <c r="K1488" s="684"/>
      <c r="L1488" s="684"/>
      <c r="M1488" s="684"/>
      <c r="N1488" s="685"/>
    </row>
    <row r="1489" spans="1:15" ht="15.95" customHeight="1" x14ac:dyDescent="0.25">
      <c r="A1489" s="121"/>
      <c r="B1489" s="23"/>
      <c r="C1489" s="24"/>
      <c r="D1489" s="24"/>
      <c r="E1489" s="24"/>
      <c r="F1489" s="31"/>
      <c r="G1489" s="87"/>
      <c r="H1489" s="31"/>
      <c r="I1489" s="31"/>
      <c r="J1489" s="24"/>
      <c r="K1489" s="24"/>
      <c r="L1489" s="24"/>
      <c r="M1489" s="24"/>
      <c r="N1489" s="25"/>
    </row>
    <row r="1490" spans="1:15" ht="15.95" customHeight="1" x14ac:dyDescent="0.25">
      <c r="A1490" s="121"/>
      <c r="B1490" s="23"/>
      <c r="C1490" s="638" t="s">
        <v>37</v>
      </c>
      <c r="D1490" s="639"/>
      <c r="E1490" s="640"/>
      <c r="F1490" s="31"/>
      <c r="G1490" s="87"/>
      <c r="H1490" s="641" t="s">
        <v>28</v>
      </c>
      <c r="I1490" s="642"/>
      <c r="J1490" s="39">
        <f>+$D$1510-SUMIF($H$1496:$H$1504,"&lt;"&amp;$M$4,$K$1496:$K$1504)</f>
        <v>0</v>
      </c>
      <c r="K1490" s="24"/>
      <c r="L1490" s="24"/>
      <c r="M1490" s="24"/>
      <c r="N1490" s="25"/>
    </row>
    <row r="1491" spans="1:15" ht="15.95" customHeight="1" x14ac:dyDescent="0.25">
      <c r="A1491" s="121"/>
      <c r="B1491" s="23"/>
      <c r="C1491" s="58"/>
      <c r="D1491" s="664"/>
      <c r="E1491" s="665"/>
      <c r="F1491" s="31"/>
      <c r="G1491" s="87"/>
      <c r="H1491" s="645" t="s">
        <v>29</v>
      </c>
      <c r="I1491" s="646"/>
      <c r="J1491" s="40">
        <f>+$D$1509</f>
        <v>44520</v>
      </c>
      <c r="K1491" s="24"/>
      <c r="L1491" s="24"/>
      <c r="M1491" s="24"/>
      <c r="N1491" s="25"/>
    </row>
    <row r="1492" spans="1:15" ht="15.95" customHeight="1" x14ac:dyDescent="0.25">
      <c r="A1492" s="121"/>
      <c r="B1492" s="23"/>
      <c r="C1492" s="59" t="s">
        <v>25</v>
      </c>
      <c r="D1492" s="681"/>
      <c r="E1492" s="682"/>
      <c r="F1492" s="31"/>
      <c r="G1492" s="87"/>
      <c r="H1492" s="649" t="s">
        <v>30</v>
      </c>
      <c r="I1492" s="650"/>
      <c r="J1492" s="42" t="str">
        <f t="array" ref="J1492">+IF($H$1503&gt;=$M$4,MIN(IF($H$1496:$H1504&gt;$M$4,$H$1496:$H1504,"")),"vencida")</f>
        <v>vencida</v>
      </c>
      <c r="K1492" s="24"/>
      <c r="L1492" s="24"/>
      <c r="M1492" s="24"/>
      <c r="N1492" s="25"/>
    </row>
    <row r="1493" spans="1:15" ht="15.95" customHeight="1" x14ac:dyDescent="0.25">
      <c r="A1493" s="121"/>
      <c r="B1493" s="23"/>
      <c r="C1493" s="59" t="s">
        <v>6</v>
      </c>
      <c r="D1493" s="681" t="s">
        <v>258</v>
      </c>
      <c r="E1493" s="682"/>
      <c r="F1493" s="31"/>
      <c r="G1493" s="87"/>
      <c r="H1493" s="24"/>
      <c r="I1493" s="24"/>
      <c r="J1493" s="24"/>
      <c r="K1493" s="24"/>
      <c r="L1493" s="24"/>
      <c r="M1493" s="24"/>
      <c r="N1493" s="25"/>
    </row>
    <row r="1494" spans="1:15" ht="15.95" customHeight="1" x14ac:dyDescent="0.25">
      <c r="A1494" s="121"/>
      <c r="B1494" s="23"/>
      <c r="C1494" s="59" t="s">
        <v>8</v>
      </c>
      <c r="D1494" s="681" t="s">
        <v>17</v>
      </c>
      <c r="E1494" s="682"/>
      <c r="F1494" s="31"/>
      <c r="G1494" s="87"/>
      <c r="H1494" s="651" t="s">
        <v>41</v>
      </c>
      <c r="I1494" s="652"/>
      <c r="J1494" s="652"/>
      <c r="K1494" s="652"/>
      <c r="L1494" s="653"/>
      <c r="M1494" s="24"/>
      <c r="N1494" s="25"/>
    </row>
    <row r="1495" spans="1:15" ht="20.100000000000001" customHeight="1" x14ac:dyDescent="0.25">
      <c r="A1495" s="121"/>
      <c r="B1495" s="23"/>
      <c r="C1495" s="59" t="s">
        <v>33</v>
      </c>
      <c r="D1495" s="132" t="s">
        <v>309</v>
      </c>
      <c r="E1495" s="274">
        <v>1</v>
      </c>
      <c r="F1495" s="281">
        <f>+E1495*J1490</f>
        <v>0</v>
      </c>
      <c r="G1495" s="87"/>
      <c r="H1495" s="126" t="s">
        <v>0</v>
      </c>
      <c r="I1495" s="127" t="s">
        <v>2</v>
      </c>
      <c r="J1495" s="127" t="s">
        <v>3</v>
      </c>
      <c r="K1495" s="127" t="s">
        <v>4</v>
      </c>
      <c r="L1495" s="128" t="s">
        <v>5</v>
      </c>
      <c r="M1495" s="127" t="s">
        <v>44</v>
      </c>
      <c r="N1495" s="25"/>
    </row>
    <row r="1496" spans="1:15" ht="15.95" customHeight="1" x14ac:dyDescent="0.25">
      <c r="A1496" s="121"/>
      <c r="B1496" s="23"/>
      <c r="C1496" s="59" t="s">
        <v>34</v>
      </c>
      <c r="D1496" s="681" t="s">
        <v>48</v>
      </c>
      <c r="E1496" s="682"/>
      <c r="F1496" s="31"/>
      <c r="G1496" s="87"/>
      <c r="H1496" s="45"/>
      <c r="I1496" s="46"/>
      <c r="J1496" s="46"/>
      <c r="K1496" s="46"/>
      <c r="L1496" s="47"/>
      <c r="M1496" s="23"/>
      <c r="N1496" s="25"/>
    </row>
    <row r="1497" spans="1:15" ht="20.100000000000001" customHeight="1" x14ac:dyDescent="0.25">
      <c r="A1497" s="121"/>
      <c r="B1497" s="23"/>
      <c r="C1497" s="79" t="s">
        <v>38</v>
      </c>
      <c r="D1497" s="130"/>
      <c r="E1497" s="131"/>
      <c r="F1497" s="31"/>
      <c r="G1497" s="87"/>
      <c r="H1497" s="48">
        <f>+$D$1508</f>
        <v>43424</v>
      </c>
      <c r="I1497" s="136"/>
      <c r="J1497" s="49"/>
      <c r="K1497" s="49"/>
      <c r="L1497" s="50">
        <f>+D1510</f>
        <v>150000</v>
      </c>
      <c r="M1497" s="93">
        <f>-L1497</f>
        <v>-150000</v>
      </c>
      <c r="N1497" s="25"/>
    </row>
    <row r="1498" spans="1:15" ht="15.95" customHeight="1" x14ac:dyDescent="0.25">
      <c r="A1498" s="121"/>
      <c r="B1498" s="23"/>
      <c r="C1498" s="59"/>
      <c r="D1498" s="132"/>
      <c r="E1498" s="133"/>
      <c r="F1498" s="31"/>
      <c r="G1498" s="87"/>
      <c r="H1498" s="51">
        <f>IF(DAY(H1497)=DAY($H$1497),IF(WEEKDAY(EDATE(H1497,$D$1511),3)&lt;5,EDATE(H1497,$D$1511),WORKDAY(EDATE(H1497,$D$1511),1)),IF(WEEKDAY(EDATE($H$1497,$D$1511*COUNT($H$1497:H1497)),3)&lt;5,EDATE($H$1497,$D$1511*COUNT($H$1497:H1497)),WORKDAY(EDATE($H$1497,$D$1511*COUNT($H$1497:H1497)),1)))</f>
        <v>43605</v>
      </c>
      <c r="I1498" s="137" t="s">
        <v>13</v>
      </c>
      <c r="J1498" s="52">
        <f t="shared" ref="J1498:J1503" si="140">+(($D$1513/365)*(H1498-H1497))*L1497</f>
        <v>7252.3972602739732</v>
      </c>
      <c r="K1498" s="52">
        <f>+IF(OR(I1498="A + C",I1498="A"),$L$1497*$D$1514,0)</f>
        <v>25004.999999999996</v>
      </c>
      <c r="L1498" s="53">
        <f t="shared" ref="L1498:L1503" si="141">+L1497-K1498</f>
        <v>124995</v>
      </c>
      <c r="M1498" s="94">
        <f t="shared" ref="M1498:M1503" si="142">+J1498+K1498</f>
        <v>32257.39726027397</v>
      </c>
      <c r="N1498" s="25"/>
    </row>
    <row r="1499" spans="1:15" ht="20.100000000000001" customHeight="1" x14ac:dyDescent="0.25">
      <c r="A1499" s="121"/>
      <c r="B1499" s="23"/>
      <c r="C1499" s="60"/>
      <c r="D1499" s="134"/>
      <c r="E1499" s="135"/>
      <c r="F1499" s="34"/>
      <c r="G1499" s="88"/>
      <c r="H1499" s="51">
        <f>IF(DAY(H1498)=DAY($H$1497),IF(WEEKDAY(EDATE(H1498,$D$1511),3)&lt;5,EDATE(H1498,$D$1511),WORKDAY(EDATE(H1498,$D$1511),1)),IF(WEEKDAY(EDATE($H$1497,$D$1511*COUNT($H$1497:H1498)),3)&lt;5,EDATE($H$1497,$D$1511*COUNT($H$1497:H1498)),WORKDAY(EDATE($H$1497,$D$1511*COUNT($H$1497:H1498)),1)))</f>
        <v>43789</v>
      </c>
      <c r="I1499" s="137" t="s">
        <v>13</v>
      </c>
      <c r="J1499" s="52">
        <f t="shared" si="140"/>
        <v>6143.589863013699</v>
      </c>
      <c r="K1499" s="52">
        <f>+IF(OR(I1499="A + C",I1499="A"),$L$1497*$D$1514,0)</f>
        <v>25004.999999999996</v>
      </c>
      <c r="L1499" s="53">
        <f t="shared" si="141"/>
        <v>99990</v>
      </c>
      <c r="M1499" s="94">
        <f t="shared" si="142"/>
        <v>31148.589863013694</v>
      </c>
      <c r="N1499" s="25"/>
    </row>
    <row r="1500" spans="1:15" ht="15.95" customHeight="1" x14ac:dyDescent="0.25">
      <c r="A1500" s="121"/>
      <c r="B1500" s="23"/>
      <c r="C1500" s="60"/>
      <c r="D1500" s="55" t="str">
        <f>B1488</f>
        <v>Metagro I</v>
      </c>
      <c r="E1500" s="64"/>
      <c r="F1500" s="34"/>
      <c r="G1500" s="88">
        <f>J1490</f>
        <v>0</v>
      </c>
      <c r="H1500" s="51">
        <f>IF(DAY(H1499)=DAY($H$1497),IF(WEEKDAY(EDATE(H1499,$D$1511),3)&lt;5,EDATE(H1499,$D$1511),WORKDAY(EDATE(H1499,$D$1511),1)),IF(WEEKDAY(EDATE($H$1497,$D$1511*COUNT($H$1497:H1499)),3)&lt;5,EDATE($H$1497,$D$1511*COUNT($H$1497:H1499)),WORKDAY(EDATE($H$1497,$D$1511*COUNT($H$1497:H1499)),1)))</f>
        <v>43971</v>
      </c>
      <c r="I1500" s="137" t="s">
        <v>13</v>
      </c>
      <c r="J1500" s="52">
        <f t="shared" si="140"/>
        <v>4861.157671232877</v>
      </c>
      <c r="K1500" s="52">
        <f>+IF(OR(I1500="A + C",I1500="A"),$L$1497*$D$1514,0)</f>
        <v>25004.999999999996</v>
      </c>
      <c r="L1500" s="53">
        <f t="shared" si="141"/>
        <v>74985</v>
      </c>
      <c r="M1500" s="94">
        <f t="shared" si="142"/>
        <v>29866.157671232875</v>
      </c>
      <c r="N1500" s="25"/>
    </row>
    <row r="1501" spans="1:15" ht="15.95" customHeight="1" x14ac:dyDescent="0.25">
      <c r="A1501" s="121"/>
      <c r="B1501" s="32"/>
      <c r="D1501" s="644"/>
      <c r="E1501" s="660"/>
      <c r="F1501" s="34"/>
      <c r="G1501" s="88"/>
      <c r="H1501" s="51">
        <f>IF(DAY(H1500)=DAY($H$1497),IF(WEEKDAY(EDATE(H1500,$D$1511),3)&lt;5,EDATE(H1500,$D$1511),WORKDAY(EDATE(H1500,$D$1511),1)),IF(WEEKDAY(EDATE($H$1497,$D$1511*COUNT($H$1497:H1500)),3)&lt;5,EDATE($H$1497,$D$1511*COUNT($H$1497:H1500)),WORKDAY(EDATE($H$1497,$D$1511*COUNT($H$1497:H1500)),1)))</f>
        <v>44155</v>
      </c>
      <c r="I1501" s="137" t="s">
        <v>13</v>
      </c>
      <c r="J1501" s="52">
        <f t="shared" si="140"/>
        <v>3685.5641095890414</v>
      </c>
      <c r="K1501" s="52">
        <f>+IF(OR(I1501="A + C",I1501="A"),$L$1497*$D$1514,0)</f>
        <v>25004.999999999996</v>
      </c>
      <c r="L1501" s="53">
        <f t="shared" si="141"/>
        <v>49980</v>
      </c>
      <c r="M1501" s="94">
        <f t="shared" si="142"/>
        <v>28690.564109589039</v>
      </c>
      <c r="N1501" s="25"/>
      <c r="O1501" s="194"/>
    </row>
    <row r="1502" spans="1:15" ht="15.95" customHeight="1" x14ac:dyDescent="0.25">
      <c r="A1502" s="121"/>
      <c r="B1502" s="23"/>
      <c r="C1502" s="638" t="s">
        <v>36</v>
      </c>
      <c r="D1502" s="640"/>
      <c r="E1502" s="36"/>
      <c r="F1502" s="34"/>
      <c r="G1502" s="88"/>
      <c r="H1502" s="51">
        <f>IF(DAY(H1501)=DAY($H$1497),IF(WEEKDAY(EDATE(H1501,$D$1511),3)&lt;5,EDATE(H1501,$D$1511),WORKDAY(EDATE(H1501,$D$1511),1)),IF(WEEKDAY(EDATE($H$1497,$D$1511*COUNT($H$1497:H1501)),3)&lt;5,EDATE($H$1497,$D$1511*COUNT($H$1497:H1501)),WORKDAY(EDATE($H$1497,$D$1511*COUNT($H$1497:H1501)),1)))</f>
        <v>44336</v>
      </c>
      <c r="I1502" s="137" t="s">
        <v>13</v>
      </c>
      <c r="J1502" s="52">
        <f t="shared" si="140"/>
        <v>2416.498767123288</v>
      </c>
      <c r="K1502" s="52">
        <f>+IF(OR(I1502="A + C",I1502="A"),$D$1510*$D$1515,0)</f>
        <v>24990</v>
      </c>
      <c r="L1502" s="53">
        <f t="shared" si="141"/>
        <v>24990</v>
      </c>
      <c r="M1502" s="94">
        <f t="shared" si="142"/>
        <v>27406.498767123288</v>
      </c>
      <c r="N1502" s="25"/>
    </row>
    <row r="1503" spans="1:15" ht="15.95" customHeight="1" x14ac:dyDescent="0.25">
      <c r="A1503" s="121"/>
      <c r="B1503" s="23"/>
      <c r="C1503" s="59"/>
      <c r="D1503" s="62"/>
      <c r="E1503" s="36"/>
      <c r="F1503" s="36"/>
      <c r="G1503" s="89"/>
      <c r="H1503" s="51">
        <v>44520</v>
      </c>
      <c r="I1503" s="137" t="s">
        <v>13</v>
      </c>
      <c r="J1503" s="52">
        <f t="shared" si="140"/>
        <v>1228.2756164383561</v>
      </c>
      <c r="K1503" s="52">
        <f>+IF(OR(I1503="A + C",I1503="A"),$D$1510*$D$1515,0)</f>
        <v>24990</v>
      </c>
      <c r="L1503" s="53">
        <f t="shared" si="141"/>
        <v>0</v>
      </c>
      <c r="M1503" s="94">
        <f t="shared" si="142"/>
        <v>26218.275616438357</v>
      </c>
      <c r="N1503" s="25"/>
      <c r="O1503" s="194" t="str">
        <f>+D1649</f>
        <v>Régimen General</v>
      </c>
    </row>
    <row r="1504" spans="1:15" ht="15.95" customHeight="1" x14ac:dyDescent="0.25">
      <c r="A1504" s="121"/>
      <c r="B1504" s="23"/>
      <c r="C1504" s="59" t="s">
        <v>9</v>
      </c>
      <c r="D1504" s="129" t="s">
        <v>49</v>
      </c>
      <c r="E1504" s="36"/>
      <c r="F1504" s="36"/>
      <c r="G1504" s="90"/>
      <c r="H1504" s="54"/>
      <c r="I1504" s="144"/>
      <c r="J1504" s="55"/>
      <c r="K1504" s="56"/>
      <c r="L1504" s="57"/>
      <c r="M1504" s="95"/>
      <c r="N1504" s="25"/>
    </row>
    <row r="1505" spans="1:15" ht="15.95" customHeight="1" x14ac:dyDescent="0.25">
      <c r="A1505" s="121"/>
      <c r="B1505" s="23"/>
      <c r="C1505" s="59" t="s">
        <v>51</v>
      </c>
      <c r="D1505" s="138" t="s">
        <v>49</v>
      </c>
      <c r="E1505" s="36"/>
      <c r="F1505" s="36"/>
      <c r="G1505" s="90"/>
      <c r="H1505" s="24"/>
      <c r="I1505" s="24"/>
      <c r="J1505" s="24"/>
      <c r="K1505" s="24"/>
      <c r="L1505" s="24"/>
      <c r="M1505" s="24"/>
      <c r="N1505" s="25"/>
      <c r="O1505" s="194" t="str">
        <f>+IF(J1647="vencida",IF(D1649='Reporte - Oscuro'!$C$40,'Reporte - Oscuro'!$C$40&amp;" vencida",IF(D1649='Reporte - Oscuro'!$C$41,'Reporte - Oscuro'!$C$41&amp;" vencida",IF(D1649='Reporte - Oscuro'!$C$42,'Reporte - Oscuro'!$C$42&amp;" vencida",'Reporte - Oscuro'!$C$43&amp;" vencida"))),D1649&amp;" vigente")</f>
        <v>Régimen General vencida</v>
      </c>
    </row>
    <row r="1506" spans="1:15" ht="15.95" customHeight="1" x14ac:dyDescent="0.25">
      <c r="A1506" s="121"/>
      <c r="B1506" s="23"/>
      <c r="C1506" s="59" t="s">
        <v>52</v>
      </c>
      <c r="D1506" s="138" t="s">
        <v>49</v>
      </c>
      <c r="E1506" s="36"/>
      <c r="F1506" s="36"/>
      <c r="G1506" s="90"/>
      <c r="H1506" s="680" t="s">
        <v>43</v>
      </c>
      <c r="I1506" s="680"/>
      <c r="J1506" s="92">
        <f t="array" ref="J1506">$J$1490+IF($H$1503&gt;=$M$4,(VLOOKUP(MIN(IF($H$1496:$H$1504&gt;$M$4,$H$1496:$H$1504,"")),H1496:J1504,3,FALSE)/(MIN(IF($H$1496:$H$1504&gt;$M$4,$H$1496:$H$1504,""))-MAX(IF($H$1496:$H$1504&lt;$M$4,$H$1496:$H$1504,""))))*($M$4-MAX(IF($H$1496:$H$1504&lt;$M$4,$H$1496:$H$1504,""))),0)</f>
        <v>0</v>
      </c>
      <c r="K1506" s="92"/>
      <c r="L1506" s="24"/>
      <c r="M1506" s="24"/>
      <c r="N1506" s="25"/>
    </row>
    <row r="1507" spans="1:15" ht="15.95" customHeight="1" x14ac:dyDescent="0.25">
      <c r="A1507" s="121"/>
      <c r="B1507" s="23"/>
      <c r="C1507" s="59" t="s">
        <v>10</v>
      </c>
      <c r="D1507" s="139">
        <v>43419</v>
      </c>
      <c r="E1507" s="36"/>
      <c r="F1507" s="36"/>
      <c r="G1507" s="90"/>
      <c r="H1507" s="657"/>
      <c r="I1507" s="657"/>
      <c r="J1507" s="392"/>
      <c r="K1507" s="24"/>
      <c r="L1507" s="33"/>
      <c r="M1507" s="33"/>
      <c r="N1507" s="25"/>
    </row>
    <row r="1508" spans="1:15" ht="15.95" customHeight="1" x14ac:dyDescent="0.25">
      <c r="A1508" s="121"/>
      <c r="B1508" s="23"/>
      <c r="C1508" s="59" t="s">
        <v>11</v>
      </c>
      <c r="D1508" s="139">
        <v>43424</v>
      </c>
      <c r="E1508" s="41"/>
      <c r="F1508" s="24"/>
      <c r="G1508" s="90"/>
      <c r="H1508" s="24"/>
      <c r="I1508" s="24"/>
      <c r="J1508" s="24"/>
      <c r="K1508" s="24"/>
      <c r="L1508" s="24"/>
      <c r="M1508" s="24"/>
      <c r="N1508" s="25"/>
    </row>
    <row r="1509" spans="1:15" ht="15.95" customHeight="1" x14ac:dyDescent="0.25">
      <c r="A1509" s="121"/>
      <c r="B1509" s="23"/>
      <c r="C1509" s="59" t="s">
        <v>12</v>
      </c>
      <c r="D1509" s="139">
        <v>44520</v>
      </c>
      <c r="E1509" s="36"/>
      <c r="F1509" s="24"/>
      <c r="G1509" s="90"/>
      <c r="H1509" s="638" t="s">
        <v>44</v>
      </c>
      <c r="I1509" s="639"/>
      <c r="J1509" s="639"/>
      <c r="K1509" s="639"/>
      <c r="L1509" s="639"/>
      <c r="M1509" s="640"/>
      <c r="N1509" s="25"/>
    </row>
    <row r="1510" spans="1:15" ht="15.95" customHeight="1" x14ac:dyDescent="0.25">
      <c r="A1510" s="121"/>
      <c r="B1510" s="23"/>
      <c r="C1510" s="59" t="s">
        <v>27</v>
      </c>
      <c r="D1510" s="140">
        <v>150000</v>
      </c>
      <c r="E1510" s="43"/>
      <c r="F1510" s="24"/>
      <c r="G1510" s="90"/>
      <c r="H1510" s="23"/>
      <c r="I1510" s="24"/>
      <c r="J1510" s="24"/>
      <c r="K1510" s="24"/>
      <c r="L1510" s="24"/>
      <c r="M1510" s="25"/>
      <c r="N1510" s="25"/>
      <c r="O1510" s="97">
        <f>+M1652</f>
        <v>-3338830</v>
      </c>
    </row>
    <row r="1511" spans="1:15" ht="15.95" customHeight="1" x14ac:dyDescent="0.25">
      <c r="A1511" s="121"/>
      <c r="B1511" s="23"/>
      <c r="C1511" s="59" t="s">
        <v>26</v>
      </c>
      <c r="D1511" s="140">
        <v>6</v>
      </c>
      <c r="E1511" s="43"/>
      <c r="F1511" s="24"/>
      <c r="G1511" s="90"/>
      <c r="H1511" s="23"/>
      <c r="I1511" s="24"/>
      <c r="J1511" s="24"/>
      <c r="K1511" s="24"/>
      <c r="L1511" s="24"/>
      <c r="M1511" s="25"/>
      <c r="N1511" s="25"/>
      <c r="O1511" s="97">
        <f t="shared" ref="O1511:O1516" si="143">+M1653+O1510</f>
        <v>-3252386.319178082</v>
      </c>
    </row>
    <row r="1512" spans="1:15" ht="15.95" customHeight="1" x14ac:dyDescent="0.25">
      <c r="A1512" s="121"/>
      <c r="B1512" s="23"/>
      <c r="C1512" s="59" t="s">
        <v>19</v>
      </c>
      <c r="D1512" s="141" t="s">
        <v>50</v>
      </c>
      <c r="E1512" s="43"/>
      <c r="F1512" s="24"/>
      <c r="G1512" s="90"/>
      <c r="H1512" s="96"/>
      <c r="I1512" s="35"/>
      <c r="J1512" s="24"/>
      <c r="K1512" s="24"/>
      <c r="L1512" s="24"/>
      <c r="M1512" s="25"/>
      <c r="N1512" s="25"/>
      <c r="O1512" s="97">
        <f t="shared" si="143"/>
        <v>-3164021.6676712329</v>
      </c>
    </row>
    <row r="1513" spans="1:15" ht="15.95" customHeight="1" x14ac:dyDescent="0.25">
      <c r="A1513" s="121"/>
      <c r="B1513" s="23"/>
      <c r="C1513" s="59" t="s">
        <v>14</v>
      </c>
      <c r="D1513" s="142">
        <v>9.7500000000000003E-2</v>
      </c>
      <c r="E1513" s="44"/>
      <c r="F1513" s="24"/>
      <c r="G1513" s="90"/>
      <c r="H1513" s="23"/>
      <c r="I1513" s="24"/>
      <c r="J1513" s="24"/>
      <c r="K1513" s="24"/>
      <c r="L1513" s="24"/>
      <c r="M1513" s="25"/>
      <c r="N1513" s="25"/>
      <c r="O1513" s="97">
        <f t="shared" si="143"/>
        <v>-3075657.0161643839</v>
      </c>
    </row>
    <row r="1514" spans="1:15" ht="15.95" customHeight="1" x14ac:dyDescent="0.25">
      <c r="A1514" s="121"/>
      <c r="B1514" s="23"/>
      <c r="C1514" s="59" t="s">
        <v>249</v>
      </c>
      <c r="D1514" s="142">
        <v>0.16669999999999999</v>
      </c>
      <c r="E1514" s="24"/>
      <c r="F1514" s="24"/>
      <c r="G1514" s="90"/>
      <c r="H1514" s="23"/>
      <c r="I1514" s="24"/>
      <c r="J1514" s="24"/>
      <c r="K1514" s="24"/>
      <c r="L1514" s="24"/>
      <c r="M1514" s="25"/>
      <c r="N1514" s="25"/>
      <c r="O1514" s="97">
        <f t="shared" si="143"/>
        <v>-2987292.3646575348</v>
      </c>
    </row>
    <row r="1515" spans="1:15" ht="15.95" customHeight="1" x14ac:dyDescent="0.25">
      <c r="A1515" s="121"/>
      <c r="B1515" s="23"/>
      <c r="C1515" s="59" t="s">
        <v>250</v>
      </c>
      <c r="D1515" s="142">
        <v>0.1666</v>
      </c>
      <c r="E1515" s="24"/>
      <c r="F1515" s="24"/>
      <c r="G1515" s="90"/>
      <c r="H1515" s="23"/>
      <c r="I1515" s="24"/>
      <c r="J1515" s="24"/>
      <c r="K1515" s="24"/>
      <c r="L1515" s="24"/>
      <c r="M1515" s="25"/>
      <c r="N1515" s="25"/>
      <c r="O1515" s="97">
        <f t="shared" si="143"/>
        <v>-2901809.1691780826</v>
      </c>
    </row>
    <row r="1516" spans="1:15" ht="15.95" customHeight="1" x14ac:dyDescent="0.25">
      <c r="A1516" s="121"/>
      <c r="B1516" s="23"/>
      <c r="C1516" s="63"/>
      <c r="D1516" s="145"/>
      <c r="E1516" s="24"/>
      <c r="F1516" s="24"/>
      <c r="G1516" s="90"/>
      <c r="H1516" s="23"/>
      <c r="I1516" s="24"/>
      <c r="J1516" s="24"/>
      <c r="K1516" s="24"/>
      <c r="L1516" s="24"/>
      <c r="M1516" s="25"/>
      <c r="N1516" s="25"/>
      <c r="O1516" s="97">
        <f t="shared" si="143"/>
        <v>525385.48232876649</v>
      </c>
    </row>
    <row r="1517" spans="1:15" ht="15.95" customHeight="1" x14ac:dyDescent="0.25">
      <c r="A1517" s="121"/>
      <c r="B1517" s="23"/>
      <c r="C1517" s="24"/>
      <c r="D1517" s="24"/>
      <c r="E1517" s="24"/>
      <c r="F1517" s="24"/>
      <c r="G1517" s="90"/>
      <c r="H1517" s="23"/>
      <c r="I1517" s="24"/>
      <c r="J1517" s="24"/>
      <c r="K1517" s="24"/>
      <c r="L1517" s="24"/>
      <c r="M1517" s="25"/>
      <c r="N1517" s="25"/>
      <c r="O1517" s="97"/>
    </row>
    <row r="1518" spans="1:15" ht="15.95" customHeight="1" x14ac:dyDescent="0.25">
      <c r="A1518" s="121"/>
      <c r="B1518" s="23"/>
      <c r="C1518" s="24"/>
      <c r="D1518" s="24"/>
      <c r="E1518" s="24"/>
      <c r="F1518" s="24"/>
      <c r="G1518" s="90"/>
      <c r="H1518" s="23"/>
      <c r="I1518" s="24"/>
      <c r="J1518" s="24"/>
      <c r="K1518" s="24"/>
      <c r="L1518" s="24"/>
      <c r="M1518" s="25"/>
      <c r="N1518" s="25"/>
      <c r="O1518" s="97"/>
    </row>
    <row r="1519" spans="1:15" ht="15.95" customHeight="1" x14ac:dyDescent="0.25">
      <c r="A1519" s="121"/>
      <c r="B1519" s="23"/>
      <c r="C1519" s="24"/>
      <c r="D1519" s="24"/>
      <c r="E1519" s="24"/>
      <c r="F1519" s="24"/>
      <c r="G1519" s="90"/>
      <c r="H1519" s="23"/>
      <c r="I1519" s="24"/>
      <c r="J1519" s="24"/>
      <c r="K1519" s="24"/>
      <c r="L1519" s="24"/>
      <c r="M1519" s="25"/>
      <c r="N1519" s="25"/>
    </row>
    <row r="1520" spans="1:15" ht="15.95" customHeight="1" x14ac:dyDescent="0.25">
      <c r="A1520" s="121"/>
      <c r="B1520" s="23"/>
      <c r="C1520" s="24"/>
      <c r="D1520" s="24"/>
      <c r="E1520" s="24"/>
      <c r="F1520" s="24"/>
      <c r="G1520" s="90"/>
      <c r="H1520" s="23"/>
      <c r="I1520" s="24"/>
      <c r="J1520" s="24"/>
      <c r="K1520" s="24"/>
      <c r="L1520" s="24"/>
      <c r="M1520" s="25"/>
      <c r="N1520" s="25"/>
    </row>
    <row r="1521" spans="1:15" ht="15.95" customHeight="1" x14ac:dyDescent="0.25">
      <c r="A1521" s="121"/>
      <c r="B1521" s="23"/>
      <c r="C1521" s="24"/>
      <c r="D1521" s="24"/>
      <c r="E1521" s="24"/>
      <c r="F1521" s="24"/>
      <c r="G1521" s="90"/>
      <c r="H1521" s="26"/>
      <c r="I1521" s="27"/>
      <c r="J1521" s="27"/>
      <c r="K1521" s="27"/>
      <c r="L1521" s="27"/>
      <c r="M1521" s="28"/>
      <c r="N1521" s="25"/>
    </row>
    <row r="1522" spans="1:15" ht="15.95" customHeight="1" x14ac:dyDescent="0.25">
      <c r="A1522" s="121"/>
      <c r="B1522" s="26"/>
      <c r="C1522" s="85"/>
      <c r="D1522" s="27"/>
      <c r="E1522" s="27"/>
      <c r="F1522" s="27"/>
      <c r="G1522" s="91"/>
      <c r="H1522" s="27"/>
      <c r="I1522" s="27"/>
      <c r="J1522" s="27"/>
      <c r="K1522" s="27"/>
      <c r="L1522" s="27"/>
      <c r="M1522" s="27"/>
      <c r="N1522" s="28"/>
    </row>
    <row r="1523" spans="1:15" ht="15.95" customHeight="1" x14ac:dyDescent="0.25">
      <c r="A1523" s="121"/>
      <c r="B1523" s="23"/>
      <c r="C1523" s="24"/>
      <c r="D1523" s="24"/>
      <c r="E1523" s="24"/>
      <c r="F1523" s="24"/>
      <c r="G1523" s="24"/>
      <c r="H1523" s="24"/>
      <c r="I1523" s="24"/>
      <c r="J1523" s="24"/>
      <c r="K1523" s="24"/>
      <c r="L1523" s="24"/>
      <c r="M1523" s="24"/>
      <c r="N1523" s="25"/>
    </row>
    <row r="1524" spans="1:15" ht="15.95" customHeight="1" x14ac:dyDescent="0.25">
      <c r="A1524" s="121"/>
      <c r="B1524" s="683" t="s">
        <v>206</v>
      </c>
      <c r="C1524" s="684"/>
      <c r="D1524" s="684"/>
      <c r="E1524" s="684"/>
      <c r="F1524" s="684"/>
      <c r="G1524" s="684"/>
      <c r="H1524" s="684"/>
      <c r="I1524" s="684"/>
      <c r="J1524" s="684"/>
      <c r="K1524" s="684"/>
      <c r="L1524" s="684"/>
      <c r="M1524" s="684"/>
      <c r="N1524" s="685"/>
    </row>
    <row r="1525" spans="1:15" ht="15.95" customHeight="1" x14ac:dyDescent="0.25">
      <c r="A1525" s="121"/>
      <c r="B1525" s="23"/>
      <c r="C1525" s="24"/>
      <c r="D1525" s="24"/>
      <c r="E1525" s="24"/>
      <c r="F1525" s="31"/>
      <c r="G1525" s="87"/>
      <c r="H1525" s="31"/>
      <c r="I1525" s="31"/>
      <c r="J1525" s="24"/>
      <c r="K1525" s="24"/>
      <c r="L1525" s="24"/>
      <c r="M1525" s="24"/>
      <c r="N1525" s="25"/>
    </row>
    <row r="1526" spans="1:15" ht="15.95" customHeight="1" x14ac:dyDescent="0.25">
      <c r="A1526" s="121"/>
      <c r="B1526" s="23"/>
      <c r="C1526" s="638" t="s">
        <v>37</v>
      </c>
      <c r="D1526" s="639"/>
      <c r="E1526" s="640"/>
      <c r="F1526" s="31"/>
      <c r="G1526" s="87"/>
      <c r="H1526" s="641" t="s">
        <v>28</v>
      </c>
      <c r="I1526" s="642"/>
      <c r="J1526" s="39">
        <f>+$D$1546-SUMIF($H$1532:$H$1542,"&lt;"&amp;$M$4,$K$1532:$K$1542)</f>
        <v>0</v>
      </c>
      <c r="K1526" s="24"/>
      <c r="L1526" s="24"/>
      <c r="M1526" s="24"/>
      <c r="N1526" s="25"/>
    </row>
    <row r="1527" spans="1:15" ht="15.95" customHeight="1" x14ac:dyDescent="0.25">
      <c r="A1527" s="121"/>
      <c r="B1527" s="23"/>
      <c r="C1527" s="58"/>
      <c r="D1527" s="664"/>
      <c r="E1527" s="665"/>
      <c r="F1527" s="31"/>
      <c r="G1527" s="87"/>
      <c r="H1527" s="645" t="s">
        <v>29</v>
      </c>
      <c r="I1527" s="646"/>
      <c r="J1527" s="40">
        <f>+$D$1545</f>
        <v>44186</v>
      </c>
      <c r="K1527" s="24"/>
      <c r="L1527" s="24"/>
      <c r="M1527" s="24"/>
      <c r="N1527" s="25"/>
    </row>
    <row r="1528" spans="1:15" ht="15.95" customHeight="1" x14ac:dyDescent="0.25">
      <c r="A1528" s="121"/>
      <c r="B1528" s="23"/>
      <c r="C1528" s="59" t="s">
        <v>25</v>
      </c>
      <c r="D1528" s="681"/>
      <c r="E1528" s="682"/>
      <c r="F1528" s="31"/>
      <c r="G1528" s="87"/>
      <c r="H1528" s="649" t="s">
        <v>30</v>
      </c>
      <c r="I1528" s="650"/>
      <c r="J1528" s="42" t="str">
        <f t="array" ref="J1528">+IF($H$1541&gt;=$M$4,MIN(IF($H$1532:$H1542&gt;$M$4,$H$1532:$H1542,"")),"vencida")</f>
        <v>vencida</v>
      </c>
      <c r="K1528" s="24"/>
      <c r="L1528" s="24"/>
      <c r="M1528" s="24"/>
      <c r="N1528" s="25"/>
    </row>
    <row r="1529" spans="1:15" ht="15.95" customHeight="1" x14ac:dyDescent="0.25">
      <c r="A1529" s="121"/>
      <c r="B1529" s="23"/>
      <c r="C1529" s="59" t="s">
        <v>6</v>
      </c>
      <c r="D1529" s="681" t="s">
        <v>259</v>
      </c>
      <c r="E1529" s="682"/>
      <c r="F1529" s="31"/>
      <c r="G1529" s="87"/>
      <c r="H1529" s="24"/>
      <c r="I1529" s="24"/>
      <c r="J1529" s="24"/>
      <c r="K1529" s="24"/>
      <c r="L1529" s="24"/>
      <c r="M1529" s="24"/>
      <c r="N1529" s="25"/>
    </row>
    <row r="1530" spans="1:15" ht="15.95" customHeight="1" x14ac:dyDescent="0.25">
      <c r="A1530" s="121"/>
      <c r="B1530" s="23"/>
      <c r="C1530" s="59" t="s">
        <v>8</v>
      </c>
      <c r="D1530" s="681" t="s">
        <v>17</v>
      </c>
      <c r="E1530" s="682"/>
      <c r="F1530" s="31"/>
      <c r="G1530" s="87"/>
      <c r="H1530" s="651" t="s">
        <v>41</v>
      </c>
      <c r="I1530" s="652"/>
      <c r="J1530" s="652"/>
      <c r="K1530" s="652"/>
      <c r="L1530" s="653"/>
      <c r="M1530" s="24"/>
      <c r="N1530" s="25"/>
    </row>
    <row r="1531" spans="1:15" ht="20.100000000000001" customHeight="1" x14ac:dyDescent="0.25">
      <c r="A1531" s="121"/>
      <c r="B1531" s="23"/>
      <c r="C1531" s="59" t="s">
        <v>33</v>
      </c>
      <c r="D1531" s="132" t="s">
        <v>309</v>
      </c>
      <c r="E1531" s="274">
        <v>1</v>
      </c>
      <c r="F1531" s="281">
        <f>+E1531*J1526</f>
        <v>0</v>
      </c>
      <c r="G1531" s="87"/>
      <c r="H1531" s="126" t="s">
        <v>0</v>
      </c>
      <c r="I1531" s="127" t="s">
        <v>2</v>
      </c>
      <c r="J1531" s="127" t="s">
        <v>3</v>
      </c>
      <c r="K1531" s="127" t="s">
        <v>4</v>
      </c>
      <c r="L1531" s="128" t="s">
        <v>5</v>
      </c>
      <c r="M1531" s="127" t="s">
        <v>44</v>
      </c>
      <c r="N1531" s="25"/>
    </row>
    <row r="1532" spans="1:15" ht="15.95" customHeight="1" x14ac:dyDescent="0.25">
      <c r="A1532" s="121"/>
      <c r="B1532" s="23"/>
      <c r="C1532" s="59" t="s">
        <v>34</v>
      </c>
      <c r="D1532" s="681" t="s">
        <v>35</v>
      </c>
      <c r="E1532" s="682"/>
      <c r="F1532" s="31"/>
      <c r="G1532" s="87"/>
      <c r="H1532" s="45"/>
      <c r="I1532" s="46"/>
      <c r="J1532" s="46"/>
      <c r="K1532" s="46"/>
      <c r="L1532" s="47"/>
      <c r="M1532" s="23"/>
      <c r="N1532" s="25"/>
    </row>
    <row r="1533" spans="1:15" ht="15.95" customHeight="1" x14ac:dyDescent="0.25">
      <c r="A1533" s="121"/>
      <c r="B1533" s="23"/>
      <c r="C1533" s="79" t="s">
        <v>38</v>
      </c>
      <c r="D1533" s="130"/>
      <c r="E1533" s="131"/>
      <c r="F1533" s="31"/>
      <c r="G1533" s="87"/>
      <c r="H1533" s="48">
        <f>+$D$1544</f>
        <v>43455</v>
      </c>
      <c r="I1533" s="136"/>
      <c r="J1533" s="49"/>
      <c r="K1533" s="49"/>
      <c r="L1533" s="50">
        <f>+D1546</f>
        <v>170000</v>
      </c>
      <c r="M1533" s="93">
        <f>-L1533</f>
        <v>-170000</v>
      </c>
      <c r="N1533" s="25"/>
    </row>
    <row r="1534" spans="1:15" ht="15.95" customHeight="1" x14ac:dyDescent="0.25">
      <c r="A1534" s="121"/>
      <c r="B1534" s="23"/>
      <c r="C1534" s="59"/>
      <c r="D1534" s="132"/>
      <c r="E1534" s="133"/>
      <c r="F1534" s="31"/>
      <c r="G1534" s="87"/>
      <c r="H1534" s="51">
        <f>IF(DAY(H1533)=DAY($H$1533),IF(WEEKDAY(EDATE(H1533,$D$1547),3)&lt;5,EDATE(H1533,$D$1547),WORKDAY(EDATE(H1533,$D$1547),1)),IF(WEEKDAY(EDATE($H$1533,$D$1547*COUNT($H$1533:H1533)),3)&lt;5,EDATE($H$1533,$D$1547*COUNT($H$1533:H1533)),WORKDAY(EDATE($H$1533,$D$1547*COUNT($H$1533:H1533)),1)))</f>
        <v>43545</v>
      </c>
      <c r="I1534" s="137" t="s">
        <v>13</v>
      </c>
      <c r="J1534" s="52">
        <f t="shared" ref="J1534:J1541" si="144">+(($D$1549/365)*(H1534-H1533))*L1533</f>
        <v>3772.6027397260268</v>
      </c>
      <c r="K1534" s="52">
        <f t="shared" ref="K1534:K1541" si="145">+IF(OR(I1534="A + C",I1534="A"),$L$1533*$D$1550,0)</f>
        <v>21250</v>
      </c>
      <c r="L1534" s="53">
        <f t="shared" ref="L1534:L1541" si="146">+L1533-K1534</f>
        <v>148750</v>
      </c>
      <c r="M1534" s="94">
        <f t="shared" ref="M1534:M1541" si="147">+J1534+K1534</f>
        <v>25022.602739726026</v>
      </c>
      <c r="N1534" s="25"/>
    </row>
    <row r="1535" spans="1:15" ht="15.95" customHeight="1" x14ac:dyDescent="0.25">
      <c r="A1535" s="121"/>
      <c r="B1535" s="23"/>
      <c r="C1535" s="60"/>
      <c r="D1535" s="134"/>
      <c r="E1535" s="135"/>
      <c r="F1535" s="34"/>
      <c r="G1535" s="88"/>
      <c r="H1535" s="51">
        <f>IF(DAY(H1534)=DAY($H$1533),IF(WEEKDAY(EDATE(H1534,$D$1547),3)&lt;5,EDATE(H1534,$D$1547),WORKDAY(EDATE(H1534,$D$1547),1)),IF(WEEKDAY(EDATE($H$1533,$D$1547*COUNT($H$1533:H1534)),3)&lt;5,EDATE($H$1533,$D$1547*COUNT($H$1533:H1534)),WORKDAY(EDATE($H$1533,$D$1547*COUNT($H$1533:H1534)),1)))</f>
        <v>43637</v>
      </c>
      <c r="I1535" s="137" t="s">
        <v>13</v>
      </c>
      <c r="J1535" s="52">
        <f t="shared" si="144"/>
        <v>3374.3835616438355</v>
      </c>
      <c r="K1535" s="52">
        <f t="shared" si="145"/>
        <v>21250</v>
      </c>
      <c r="L1535" s="53">
        <f t="shared" si="146"/>
        <v>127500</v>
      </c>
      <c r="M1535" s="94">
        <f t="shared" si="147"/>
        <v>24624.383561643837</v>
      </c>
      <c r="N1535" s="25"/>
      <c r="O1535" s="194" t="str">
        <f>+D1649</f>
        <v>Régimen General</v>
      </c>
    </row>
    <row r="1536" spans="1:15" ht="15.95" customHeight="1" x14ac:dyDescent="0.25">
      <c r="A1536" s="121"/>
      <c r="B1536" s="23"/>
      <c r="C1536" s="60"/>
      <c r="D1536" s="55" t="str">
        <f>B1524</f>
        <v>Molinos Sytari II</v>
      </c>
      <c r="E1536" s="64"/>
      <c r="F1536" s="34"/>
      <c r="G1536" s="88">
        <f>J1526</f>
        <v>0</v>
      </c>
      <c r="H1536" s="51">
        <f>IF(DAY(H1535)=DAY($H$1533),IF(WEEKDAY(EDATE(H1535,$D$1547),3)&lt;5,EDATE(H1535,$D$1547),WORKDAY(EDATE(H1535,$D$1547),1)),IF(WEEKDAY(EDATE($H$1533,$D$1547*COUNT($H$1533:H1535)),3)&lt;5,EDATE($H$1533,$D$1547*COUNT($H$1533:H1535)),WORKDAY(EDATE($H$1533,$D$1547*COUNT($H$1533:H1535)),1)))</f>
        <v>43731</v>
      </c>
      <c r="I1536" s="137" t="s">
        <v>13</v>
      </c>
      <c r="J1536" s="52">
        <f t="shared" si="144"/>
        <v>2955.205479452055</v>
      </c>
      <c r="K1536" s="52">
        <f t="shared" si="145"/>
        <v>21250</v>
      </c>
      <c r="L1536" s="53">
        <f t="shared" si="146"/>
        <v>106250</v>
      </c>
      <c r="M1536" s="94">
        <f t="shared" si="147"/>
        <v>24205.205479452055</v>
      </c>
      <c r="N1536" s="25"/>
    </row>
    <row r="1537" spans="1:15" ht="15.95" customHeight="1" x14ac:dyDescent="0.25">
      <c r="A1537" s="121"/>
      <c r="B1537" s="32"/>
      <c r="D1537" s="644"/>
      <c r="E1537" s="660"/>
      <c r="F1537" s="34"/>
      <c r="G1537" s="88"/>
      <c r="H1537" s="51">
        <f>IF(DAY(H1536)=DAY($H$1533),IF(WEEKDAY(EDATE(H1536,$D$1547),3)&lt;5,EDATE(H1536,$D$1547),WORKDAY(EDATE(H1536,$D$1547),1)),IF(WEEKDAY(EDATE($H$1533,$D$1547*COUNT($H$1533:H1536)),3)&lt;5,EDATE($H$1533,$D$1547*COUNT($H$1533:H1536)),WORKDAY(EDATE($H$1533,$D$1547*COUNT($H$1533:H1536)),1)))</f>
        <v>43822</v>
      </c>
      <c r="I1537" s="137" t="s">
        <v>13</v>
      </c>
      <c r="J1537" s="52">
        <f t="shared" si="144"/>
        <v>2384.0753424657532</v>
      </c>
      <c r="K1537" s="52">
        <f t="shared" si="145"/>
        <v>21250</v>
      </c>
      <c r="L1537" s="53">
        <f t="shared" si="146"/>
        <v>85000</v>
      </c>
      <c r="M1537" s="94">
        <f t="shared" si="147"/>
        <v>23634.075342465752</v>
      </c>
      <c r="N1537" s="25"/>
      <c r="O1537" s="194" t="str">
        <f>+IF(J1684="vencida",IF(D1649='Reporte - Oscuro'!$C$40,'Reporte - Oscuro'!$C$40&amp;" vencida",IF(D1649='Reporte - Oscuro'!$C$41,'Reporte - Oscuro'!$C$41&amp;" vencida",IF(D1649='Reporte - Oscuro'!$C$42,'Reporte - Oscuro'!$C$42&amp;" vencida",'Reporte - Oscuro'!$C$43&amp;" vencida"))),D1649&amp;" vigente")</f>
        <v>Régimen General vencida</v>
      </c>
    </row>
    <row r="1538" spans="1:15" ht="15.95" customHeight="1" x14ac:dyDescent="0.25">
      <c r="A1538" s="121"/>
      <c r="B1538" s="23"/>
      <c r="C1538" s="638" t="s">
        <v>36</v>
      </c>
      <c r="D1538" s="640"/>
      <c r="E1538" s="36"/>
      <c r="F1538" s="34"/>
      <c r="G1538" s="88"/>
      <c r="H1538" s="51">
        <f>IF(DAY(H1537)=DAY($H$1533),IF(WEEKDAY(EDATE(H1537,$D$1547),3)&lt;5,EDATE(H1537,$D$1547),WORKDAY(EDATE(H1537,$D$1547),1)),IF(WEEKDAY(EDATE($H$1533,$D$1547*COUNT($H$1533:H1537)),3)&lt;5,EDATE($H$1533,$D$1547*COUNT($H$1533:H1537)),WORKDAY(EDATE($H$1533,$D$1547*COUNT($H$1533:H1537)),1)))</f>
        <v>43913</v>
      </c>
      <c r="I1538" s="137" t="s">
        <v>13</v>
      </c>
      <c r="J1538" s="52">
        <f t="shared" si="144"/>
        <v>1907.2602739726028</v>
      </c>
      <c r="K1538" s="52">
        <f t="shared" si="145"/>
        <v>21250</v>
      </c>
      <c r="L1538" s="53">
        <f t="shared" si="146"/>
        <v>63750</v>
      </c>
      <c r="M1538" s="94">
        <f t="shared" si="147"/>
        <v>23157.260273972603</v>
      </c>
      <c r="N1538" s="25"/>
    </row>
    <row r="1539" spans="1:15" ht="15.95" customHeight="1" x14ac:dyDescent="0.25">
      <c r="A1539" s="121"/>
      <c r="B1539" s="23"/>
      <c r="C1539" s="59"/>
      <c r="D1539" s="62"/>
      <c r="E1539" s="36"/>
      <c r="F1539" s="36"/>
      <c r="G1539" s="89"/>
      <c r="H1539" s="51">
        <f>IF(DAY(H1538)=DAY($H$1533),IF(WEEKDAY(EDATE(H1538,$D$1547),3)&lt;5,EDATE(H1538,$D$1547),WORKDAY(EDATE(H1538,$D$1547),1)),IF(WEEKDAY(EDATE($H$1533,$D$1547*COUNT($H$1533:H1538)),3)&lt;5,EDATE($H$1533,$D$1547*COUNT($H$1533:H1538)),WORKDAY(EDATE($H$1533,$D$1547*COUNT($H$1533:H1538)),1)))</f>
        <v>44004</v>
      </c>
      <c r="I1539" s="137" t="s">
        <v>13</v>
      </c>
      <c r="J1539" s="52">
        <f t="shared" si="144"/>
        <v>1430.4452054794522</v>
      </c>
      <c r="K1539" s="52">
        <f t="shared" si="145"/>
        <v>21250</v>
      </c>
      <c r="L1539" s="53">
        <f t="shared" si="146"/>
        <v>42500</v>
      </c>
      <c r="M1539" s="94">
        <f t="shared" si="147"/>
        <v>22680.445205479453</v>
      </c>
      <c r="N1539" s="25"/>
    </row>
    <row r="1540" spans="1:15" ht="15.95" customHeight="1" x14ac:dyDescent="0.25">
      <c r="A1540" s="121"/>
      <c r="B1540" s="23"/>
      <c r="C1540" s="59" t="s">
        <v>9</v>
      </c>
      <c r="D1540" s="129" t="s">
        <v>49</v>
      </c>
      <c r="E1540" s="36"/>
      <c r="F1540" s="36"/>
      <c r="G1540" s="89"/>
      <c r="H1540" s="51">
        <f>IF(DAY(H1539)=DAY($H$1533),IF(WEEKDAY(EDATE(H1539,$D$1547),3)&lt;5,EDATE(H1539,$D$1547),WORKDAY(EDATE(H1539,$D$1547),1)),IF(WEEKDAY(EDATE($H$1533,$D$1547*COUNT($H$1533:H1539)),3)&lt;5,EDATE($H$1533,$D$1547*COUNT($H$1533:H1539)),WORKDAY(EDATE($H$1533,$D$1547*COUNT($H$1533:H1539)),1)))</f>
        <v>44095</v>
      </c>
      <c r="I1540" s="137" t="s">
        <v>13</v>
      </c>
      <c r="J1540" s="52">
        <f t="shared" si="144"/>
        <v>953.63013698630141</v>
      </c>
      <c r="K1540" s="52">
        <f t="shared" si="145"/>
        <v>21250</v>
      </c>
      <c r="L1540" s="53">
        <f t="shared" si="146"/>
        <v>21250</v>
      </c>
      <c r="M1540" s="94">
        <f t="shared" si="147"/>
        <v>22203.630136986303</v>
      </c>
      <c r="N1540" s="25"/>
    </row>
    <row r="1541" spans="1:15" ht="15.95" customHeight="1" x14ac:dyDescent="0.25">
      <c r="A1541" s="121"/>
      <c r="B1541" s="23"/>
      <c r="C1541" s="59" t="s">
        <v>51</v>
      </c>
      <c r="D1541" s="138" t="s">
        <v>49</v>
      </c>
      <c r="E1541" s="36"/>
      <c r="F1541" s="36"/>
      <c r="G1541" s="89"/>
      <c r="H1541" s="51">
        <f>IF(DAY(H1540)=DAY($H$1533),IF(WEEKDAY(EDATE(H1540,$D$1547),3)&lt;5,EDATE(H1540,$D$1547),WORKDAY(EDATE(H1540,$D$1547),1)),IF(WEEKDAY(EDATE($H$1533,$D$1547*COUNT($H$1533:H1540)),3)&lt;5,EDATE($H$1533,$D$1547*COUNT($H$1533:H1540)),WORKDAY(EDATE($H$1533,$D$1547*COUNT($H$1533:H1540)),1)))</f>
        <v>44186</v>
      </c>
      <c r="I1541" s="137" t="s">
        <v>13</v>
      </c>
      <c r="J1541" s="52">
        <f t="shared" si="144"/>
        <v>476.8150684931507</v>
      </c>
      <c r="K1541" s="52">
        <f t="shared" si="145"/>
        <v>21250</v>
      </c>
      <c r="L1541" s="53">
        <f t="shared" si="146"/>
        <v>0</v>
      </c>
      <c r="M1541" s="94">
        <f t="shared" si="147"/>
        <v>21726.81506849315</v>
      </c>
      <c r="N1541" s="25"/>
    </row>
    <row r="1542" spans="1:15" ht="15.95" customHeight="1" x14ac:dyDescent="0.25">
      <c r="A1542" s="121"/>
      <c r="B1542" s="23"/>
      <c r="C1542" s="59" t="s">
        <v>52</v>
      </c>
      <c r="D1542" s="138" t="s">
        <v>49</v>
      </c>
      <c r="E1542" s="36"/>
      <c r="F1542" s="36"/>
      <c r="G1542" s="90"/>
      <c r="H1542" s="54"/>
      <c r="I1542" s="144"/>
      <c r="J1542" s="55"/>
      <c r="K1542" s="56"/>
      <c r="L1542" s="57"/>
      <c r="M1542" s="95"/>
      <c r="N1542" s="25"/>
      <c r="O1542" s="97">
        <f>+M1689</f>
        <v>-4281581</v>
      </c>
    </row>
    <row r="1543" spans="1:15" ht="15.95" customHeight="1" x14ac:dyDescent="0.25">
      <c r="A1543" s="121"/>
      <c r="B1543" s="23"/>
      <c r="C1543" s="59" t="s">
        <v>10</v>
      </c>
      <c r="D1543" s="139">
        <v>43447</v>
      </c>
      <c r="E1543" s="36"/>
      <c r="F1543" s="36"/>
      <c r="G1543" s="90"/>
      <c r="H1543" s="24"/>
      <c r="I1543" s="24"/>
      <c r="J1543" s="24"/>
      <c r="K1543" s="24"/>
      <c r="L1543" s="24"/>
      <c r="M1543" s="24"/>
      <c r="N1543" s="25"/>
      <c r="O1543" s="97">
        <f>+M1690+O1542</f>
        <v>-4181286.431369863</v>
      </c>
    </row>
    <row r="1544" spans="1:15" ht="15.95" customHeight="1" x14ac:dyDescent="0.25">
      <c r="A1544" s="121"/>
      <c r="B1544" s="23"/>
      <c r="C1544" s="59" t="s">
        <v>11</v>
      </c>
      <c r="D1544" s="139">
        <v>43455</v>
      </c>
      <c r="E1544" s="41"/>
      <c r="F1544" s="24"/>
      <c r="G1544" s="90"/>
      <c r="H1544" s="680" t="s">
        <v>43</v>
      </c>
      <c r="I1544" s="680"/>
      <c r="J1544" s="92">
        <f t="array" ref="J1544">$J$1526+IF($H$1541&gt;=$M$4,(VLOOKUP(MIN(IF($H$1532:$H$1542&gt;$M$4,$H$1532:$H$1542,"")),H1532:J1542,3,FALSE)/(MIN(IF($H$1532:$H$1542&gt;$M$4,$H$1532:$H$1542,""))-MAX(IF($H$1532:$H$1542&lt;$M$4,$H$1532:$H$1542,""))))*($M$4-MAX(IF($H$1532:$H$1542&lt;$M$4,$H$1532:$H$1542,""))),0)</f>
        <v>0</v>
      </c>
      <c r="K1544" s="92"/>
      <c r="L1544" s="24"/>
      <c r="M1544" s="24"/>
      <c r="N1544" s="25"/>
      <c r="O1544" s="97">
        <f>+M1691+O1543</f>
        <v>-4078763.0945479451</v>
      </c>
    </row>
    <row r="1545" spans="1:15" ht="15.95" customHeight="1" x14ac:dyDescent="0.25">
      <c r="A1545" s="121"/>
      <c r="B1545" s="23"/>
      <c r="C1545" s="59" t="s">
        <v>12</v>
      </c>
      <c r="D1545" s="139">
        <v>44186</v>
      </c>
      <c r="E1545" s="36"/>
      <c r="F1545" s="24"/>
      <c r="G1545" s="90"/>
      <c r="H1545" s="657"/>
      <c r="I1545" s="657"/>
      <c r="J1545" s="392"/>
      <c r="K1545" s="24"/>
      <c r="L1545" s="33"/>
      <c r="M1545" s="33"/>
      <c r="N1545" s="25"/>
      <c r="O1545" s="97">
        <f>+M1692+O1544</f>
        <v>-3976239.7577260272</v>
      </c>
    </row>
    <row r="1546" spans="1:15" ht="15.95" customHeight="1" x14ac:dyDescent="0.25">
      <c r="A1546" s="121"/>
      <c r="B1546" s="23"/>
      <c r="C1546" s="59" t="s">
        <v>27</v>
      </c>
      <c r="D1546" s="140">
        <v>170000</v>
      </c>
      <c r="E1546" s="43"/>
      <c r="F1546" s="24"/>
      <c r="G1546" s="90"/>
      <c r="H1546" s="24"/>
      <c r="I1546" s="24"/>
      <c r="J1546" s="24"/>
      <c r="K1546" s="24"/>
      <c r="L1546" s="24"/>
      <c r="M1546" s="24"/>
      <c r="N1546" s="25"/>
      <c r="O1546" s="97">
        <f>+M1693+O1545</f>
        <v>407864.57909589028</v>
      </c>
    </row>
    <row r="1547" spans="1:15" ht="15.95" customHeight="1" x14ac:dyDescent="0.25">
      <c r="A1547" s="121"/>
      <c r="B1547" s="23"/>
      <c r="C1547" s="59" t="s">
        <v>26</v>
      </c>
      <c r="D1547" s="140">
        <v>3</v>
      </c>
      <c r="E1547" s="43"/>
      <c r="F1547" s="24"/>
      <c r="G1547" s="90"/>
      <c r="H1547" s="638" t="s">
        <v>44</v>
      </c>
      <c r="I1547" s="639"/>
      <c r="J1547" s="639"/>
      <c r="K1547" s="639"/>
      <c r="L1547" s="639"/>
      <c r="M1547" s="640"/>
      <c r="N1547" s="25"/>
      <c r="O1547" s="97"/>
    </row>
    <row r="1548" spans="1:15" ht="15.95" customHeight="1" x14ac:dyDescent="0.25">
      <c r="A1548" s="121"/>
      <c r="B1548" s="23"/>
      <c r="C1548" s="59" t="s">
        <v>19</v>
      </c>
      <c r="D1548" s="141" t="s">
        <v>50</v>
      </c>
      <c r="E1548" s="43"/>
      <c r="F1548" s="24"/>
      <c r="G1548" s="90"/>
      <c r="H1548" s="23"/>
      <c r="I1548" s="24"/>
      <c r="J1548" s="24"/>
      <c r="K1548" s="24"/>
      <c r="L1548" s="24"/>
      <c r="M1548" s="25"/>
      <c r="N1548" s="25"/>
      <c r="O1548" s="97"/>
    </row>
    <row r="1549" spans="1:15" ht="15.95" customHeight="1" x14ac:dyDescent="0.25">
      <c r="A1549" s="121"/>
      <c r="B1549" s="23"/>
      <c r="C1549" s="59" t="s">
        <v>14</v>
      </c>
      <c r="D1549" s="142">
        <v>0.09</v>
      </c>
      <c r="E1549" s="44"/>
      <c r="F1549" s="24"/>
      <c r="G1549" s="90"/>
      <c r="H1549" s="23"/>
      <c r="I1549" s="24"/>
      <c r="J1549" s="24"/>
      <c r="K1549" s="24"/>
      <c r="L1549" s="24"/>
      <c r="M1549" s="25"/>
      <c r="N1549" s="25"/>
    </row>
    <row r="1550" spans="1:15" ht="15.95" customHeight="1" x14ac:dyDescent="0.25">
      <c r="A1550" s="121"/>
      <c r="B1550" s="23"/>
      <c r="C1550" s="59" t="s">
        <v>249</v>
      </c>
      <c r="D1550" s="142">
        <v>0.125</v>
      </c>
      <c r="E1550" s="24"/>
      <c r="F1550" s="24"/>
      <c r="G1550" s="90"/>
      <c r="H1550" s="96"/>
      <c r="I1550" s="35"/>
      <c r="J1550" s="24"/>
      <c r="K1550" s="24"/>
      <c r="L1550" s="24"/>
      <c r="M1550" s="25"/>
      <c r="N1550" s="25"/>
    </row>
    <row r="1551" spans="1:15" ht="15.95" customHeight="1" x14ac:dyDescent="0.25">
      <c r="A1551" s="121"/>
      <c r="B1551" s="23"/>
      <c r="C1551" s="63"/>
      <c r="D1551" s="145"/>
      <c r="E1551" s="24"/>
      <c r="F1551" s="24"/>
      <c r="G1551" s="90"/>
      <c r="H1551" s="23"/>
      <c r="I1551" s="24"/>
      <c r="J1551" s="24"/>
      <c r="K1551" s="24"/>
      <c r="L1551" s="24"/>
      <c r="M1551" s="25"/>
      <c r="N1551" s="25"/>
    </row>
    <row r="1552" spans="1:15" ht="15.95" customHeight="1" x14ac:dyDescent="0.25">
      <c r="A1552" s="121"/>
      <c r="B1552" s="23"/>
      <c r="C1552" s="24"/>
      <c r="D1552" s="24"/>
      <c r="E1552" s="24"/>
      <c r="F1552" s="24"/>
      <c r="G1552" s="90"/>
      <c r="H1552" s="23"/>
      <c r="I1552" s="24"/>
      <c r="J1552" s="24"/>
      <c r="K1552" s="24"/>
      <c r="L1552" s="24"/>
      <c r="M1552" s="25"/>
      <c r="N1552" s="25"/>
    </row>
    <row r="1553" spans="1:14" ht="15.95" customHeight="1" x14ac:dyDescent="0.25">
      <c r="A1553" s="121"/>
      <c r="B1553" s="23"/>
      <c r="C1553" s="24"/>
      <c r="D1553" s="24"/>
      <c r="E1553" s="24"/>
      <c r="F1553" s="24"/>
      <c r="G1553" s="90"/>
      <c r="H1553" s="23"/>
      <c r="I1553" s="24"/>
      <c r="J1553" s="24"/>
      <c r="K1553" s="24"/>
      <c r="L1553" s="24"/>
      <c r="M1553" s="25"/>
      <c r="N1553" s="25"/>
    </row>
    <row r="1554" spans="1:14" ht="15.95" customHeight="1" x14ac:dyDescent="0.25">
      <c r="A1554" s="121"/>
      <c r="B1554" s="23"/>
      <c r="C1554" s="24"/>
      <c r="D1554" s="24"/>
      <c r="E1554" s="24"/>
      <c r="F1554" s="24"/>
      <c r="G1554" s="90"/>
      <c r="H1554" s="23"/>
      <c r="I1554" s="24"/>
      <c r="J1554" s="24"/>
      <c r="K1554" s="24"/>
      <c r="L1554" s="24"/>
      <c r="M1554" s="25"/>
      <c r="N1554" s="25"/>
    </row>
    <row r="1555" spans="1:14" ht="15.95" customHeight="1" x14ac:dyDescent="0.25">
      <c r="A1555" s="121"/>
      <c r="B1555" s="23"/>
      <c r="C1555" s="24"/>
      <c r="D1555" s="24"/>
      <c r="E1555" s="24"/>
      <c r="F1555" s="24"/>
      <c r="G1555" s="90"/>
      <c r="H1555" s="23"/>
      <c r="I1555" s="24"/>
      <c r="J1555" s="24"/>
      <c r="K1555" s="24"/>
      <c r="L1555" s="24"/>
      <c r="M1555" s="25"/>
      <c r="N1555" s="25"/>
    </row>
    <row r="1556" spans="1:14" ht="15.95" customHeight="1" x14ac:dyDescent="0.25">
      <c r="A1556" s="121"/>
      <c r="B1556" s="23"/>
      <c r="C1556" s="24"/>
      <c r="D1556" s="24"/>
      <c r="E1556" s="24"/>
      <c r="F1556" s="24"/>
      <c r="G1556" s="90"/>
      <c r="H1556" s="23"/>
      <c r="I1556" s="24"/>
      <c r="J1556" s="24"/>
      <c r="K1556" s="24"/>
      <c r="L1556" s="24"/>
      <c r="M1556" s="25"/>
      <c r="N1556" s="25"/>
    </row>
    <row r="1557" spans="1:14" ht="15.95" customHeight="1" x14ac:dyDescent="0.25">
      <c r="A1557" s="121"/>
      <c r="B1557" s="23"/>
      <c r="C1557" s="24"/>
      <c r="D1557" s="24"/>
      <c r="E1557" s="24"/>
      <c r="F1557" s="24"/>
      <c r="G1557" s="90"/>
      <c r="H1557" s="23"/>
      <c r="I1557" s="24"/>
      <c r="J1557" s="24"/>
      <c r="K1557" s="24"/>
      <c r="L1557" s="24"/>
      <c r="M1557" s="25"/>
      <c r="N1557" s="25"/>
    </row>
    <row r="1558" spans="1:14" ht="15.95" customHeight="1" x14ac:dyDescent="0.25">
      <c r="A1558" s="121"/>
      <c r="B1558" s="23"/>
      <c r="C1558" s="24"/>
      <c r="D1558" s="24"/>
      <c r="E1558" s="24"/>
      <c r="F1558" s="24"/>
      <c r="G1558" s="90"/>
      <c r="H1558" s="23"/>
      <c r="I1558" s="24"/>
      <c r="J1558" s="24"/>
      <c r="K1558" s="24"/>
      <c r="L1558" s="24"/>
      <c r="M1558" s="25"/>
      <c r="N1558" s="25"/>
    </row>
    <row r="1559" spans="1:14" ht="15.95" customHeight="1" x14ac:dyDescent="0.25">
      <c r="A1559" s="121"/>
      <c r="B1559" s="23"/>
      <c r="C1559" s="24"/>
      <c r="D1559" s="24"/>
      <c r="E1559" s="24"/>
      <c r="F1559" s="24"/>
      <c r="G1559" s="90"/>
      <c r="H1559" s="26"/>
      <c r="I1559" s="27"/>
      <c r="J1559" s="27"/>
      <c r="K1559" s="27"/>
      <c r="L1559" s="27"/>
      <c r="M1559" s="28"/>
      <c r="N1559" s="25"/>
    </row>
    <row r="1560" spans="1:14" ht="15.95" customHeight="1" x14ac:dyDescent="0.25">
      <c r="A1560" s="121"/>
      <c r="B1560" s="26"/>
      <c r="C1560" s="85"/>
      <c r="D1560" s="27"/>
      <c r="E1560" s="27"/>
      <c r="F1560" s="27"/>
      <c r="G1560" s="91"/>
      <c r="H1560" s="27"/>
      <c r="I1560" s="27"/>
      <c r="J1560" s="27"/>
      <c r="K1560" s="27"/>
      <c r="L1560" s="27"/>
      <c r="M1560" s="27"/>
      <c r="N1560" s="28"/>
    </row>
    <row r="1561" spans="1:14" ht="15.95" customHeight="1" x14ac:dyDescent="0.25">
      <c r="A1561" s="121"/>
      <c r="B1561" s="23"/>
      <c r="C1561" s="24"/>
      <c r="D1561" s="24"/>
      <c r="E1561" s="24"/>
      <c r="F1561" s="24"/>
      <c r="G1561" s="24"/>
      <c r="H1561" s="24"/>
      <c r="I1561" s="24"/>
      <c r="J1561" s="24"/>
      <c r="K1561" s="24"/>
      <c r="L1561" s="24"/>
      <c r="M1561" s="24"/>
      <c r="N1561" s="25"/>
    </row>
    <row r="1562" spans="1:14" ht="15.95" customHeight="1" x14ac:dyDescent="0.25">
      <c r="A1562" s="122" t="s">
        <v>130</v>
      </c>
      <c r="B1562" s="683" t="s">
        <v>207</v>
      </c>
      <c r="C1562" s="684"/>
      <c r="D1562" s="684"/>
      <c r="E1562" s="684"/>
      <c r="F1562" s="684"/>
      <c r="G1562" s="684"/>
      <c r="H1562" s="684"/>
      <c r="I1562" s="684"/>
      <c r="J1562" s="684"/>
      <c r="K1562" s="684"/>
      <c r="L1562" s="684"/>
      <c r="M1562" s="684"/>
      <c r="N1562" s="685"/>
    </row>
    <row r="1563" spans="1:14" ht="15.95" customHeight="1" x14ac:dyDescent="0.25">
      <c r="A1563" s="121"/>
      <c r="B1563" s="23"/>
      <c r="C1563" s="24"/>
      <c r="D1563" s="24"/>
      <c r="E1563" s="24"/>
      <c r="F1563" s="31"/>
      <c r="G1563" s="87"/>
      <c r="H1563" s="31"/>
      <c r="I1563" s="31"/>
      <c r="J1563" s="24"/>
      <c r="K1563" s="24"/>
      <c r="L1563" s="24"/>
      <c r="M1563" s="24"/>
      <c r="N1563" s="25"/>
    </row>
    <row r="1564" spans="1:14" ht="15.95" customHeight="1" x14ac:dyDescent="0.25">
      <c r="A1564" s="121"/>
      <c r="B1564" s="23"/>
      <c r="C1564" s="638" t="s">
        <v>37</v>
      </c>
      <c r="D1564" s="639"/>
      <c r="E1564" s="640"/>
      <c r="F1564" s="31"/>
      <c r="G1564" s="87"/>
      <c r="H1564" s="641" t="s">
        <v>28</v>
      </c>
      <c r="I1564" s="642"/>
      <c r="J1564" s="39">
        <f>+$D$1584-SUMIF($H$1570:$H$1578,"&lt;"&amp;$M$4,$K$1570:$K$1578)</f>
        <v>0</v>
      </c>
      <c r="K1564" s="24"/>
      <c r="L1564" s="24"/>
      <c r="M1564" s="24"/>
      <c r="N1564" s="25"/>
    </row>
    <row r="1565" spans="1:14" ht="15.95" customHeight="1" x14ac:dyDescent="0.25">
      <c r="A1565" s="121"/>
      <c r="B1565" s="23"/>
      <c r="C1565" s="58"/>
      <c r="D1565" s="664"/>
      <c r="E1565" s="665"/>
      <c r="F1565" s="31"/>
      <c r="G1565" s="87"/>
      <c r="H1565" s="645" t="s">
        <v>29</v>
      </c>
      <c r="I1565" s="646"/>
      <c r="J1565" s="40">
        <f>+$D$1583</f>
        <v>44771</v>
      </c>
      <c r="K1565" s="24"/>
      <c r="L1565" s="24"/>
      <c r="M1565" s="24"/>
      <c r="N1565" s="25"/>
    </row>
    <row r="1566" spans="1:14" ht="15.95" customHeight="1" x14ac:dyDescent="0.25">
      <c r="A1566" s="121"/>
      <c r="B1566" s="23"/>
      <c r="C1566" s="59" t="s">
        <v>25</v>
      </c>
      <c r="D1566" s="681"/>
      <c r="E1566" s="682"/>
      <c r="F1566" s="31"/>
      <c r="G1566" s="87"/>
      <c r="H1566" s="649" t="s">
        <v>30</v>
      </c>
      <c r="I1566" s="650"/>
      <c r="J1566" s="42" t="str">
        <f t="array" ref="J1566">+IF(H1577&gt;=M4,MIN(IF($H$1570:$H$1578&gt;$M$4,$H$1570:$H$1578,"")),"vencida")</f>
        <v>vencida</v>
      </c>
      <c r="K1566" s="24"/>
      <c r="L1566" s="24"/>
      <c r="M1566" s="24"/>
      <c r="N1566" s="25"/>
    </row>
    <row r="1567" spans="1:14" ht="15.95" customHeight="1" x14ac:dyDescent="0.25">
      <c r="A1567" s="121"/>
      <c r="B1567" s="23"/>
      <c r="C1567" s="59" t="s">
        <v>6</v>
      </c>
      <c r="D1567" s="681" t="s">
        <v>231</v>
      </c>
      <c r="E1567" s="682"/>
      <c r="F1567" s="31"/>
      <c r="G1567" s="87"/>
      <c r="H1567" s="24"/>
      <c r="I1567" s="24"/>
      <c r="J1567" s="24"/>
      <c r="K1567" s="24"/>
      <c r="L1567" s="24"/>
      <c r="M1567" s="24"/>
      <c r="N1567" s="25"/>
    </row>
    <row r="1568" spans="1:14" ht="20.100000000000001" customHeight="1" x14ac:dyDescent="0.25">
      <c r="A1568" s="121"/>
      <c r="B1568" s="23"/>
      <c r="C1568" s="59" t="s">
        <v>8</v>
      </c>
      <c r="D1568" s="681" t="s">
        <v>17</v>
      </c>
      <c r="E1568" s="682"/>
      <c r="F1568" s="31"/>
      <c r="G1568" s="87"/>
      <c r="H1568" s="651" t="s">
        <v>41</v>
      </c>
      <c r="I1568" s="652"/>
      <c r="J1568" s="652"/>
      <c r="K1568" s="652"/>
      <c r="L1568" s="653"/>
      <c r="M1568" s="24"/>
      <c r="N1568" s="25"/>
    </row>
    <row r="1569" spans="1:15" ht="15.95" customHeight="1" x14ac:dyDescent="0.25">
      <c r="A1569" s="121"/>
      <c r="B1569" s="23"/>
      <c r="C1569" s="59" t="s">
        <v>33</v>
      </c>
      <c r="D1569" s="132" t="s">
        <v>309</v>
      </c>
      <c r="E1569" s="274">
        <v>1</v>
      </c>
      <c r="F1569" s="281">
        <f>+E1569*J1564</f>
        <v>0</v>
      </c>
      <c r="G1569" s="87"/>
      <c r="H1569" s="126" t="s">
        <v>0</v>
      </c>
      <c r="I1569" s="127" t="s">
        <v>2</v>
      </c>
      <c r="J1569" s="127" t="s">
        <v>3</v>
      </c>
      <c r="K1569" s="127" t="s">
        <v>4</v>
      </c>
      <c r="L1569" s="128" t="s">
        <v>5</v>
      </c>
      <c r="M1569" s="127" t="s">
        <v>44</v>
      </c>
      <c r="N1569" s="25"/>
    </row>
    <row r="1570" spans="1:15" ht="20.100000000000001" customHeight="1" x14ac:dyDescent="0.25">
      <c r="A1570" s="121"/>
      <c r="B1570" s="23"/>
      <c r="C1570" s="59" t="s">
        <v>34</v>
      </c>
      <c r="D1570" s="681" t="s">
        <v>48</v>
      </c>
      <c r="E1570" s="682"/>
      <c r="F1570" s="31"/>
      <c r="G1570" s="87"/>
      <c r="H1570" s="45"/>
      <c r="I1570" s="46"/>
      <c r="J1570" s="46"/>
      <c r="K1570" s="46"/>
      <c r="L1570" s="47"/>
      <c r="M1570" s="23"/>
      <c r="N1570" s="25"/>
    </row>
    <row r="1571" spans="1:15" ht="15.95" customHeight="1" x14ac:dyDescent="0.25">
      <c r="A1571" s="121"/>
      <c r="B1571" s="23"/>
      <c r="C1571" s="79" t="s">
        <v>38</v>
      </c>
      <c r="D1571" s="130"/>
      <c r="E1571" s="131"/>
      <c r="F1571" s="31"/>
      <c r="G1571" s="87"/>
      <c r="H1571" s="48">
        <f>+$D$1582</f>
        <v>43675</v>
      </c>
      <c r="I1571" s="136"/>
      <c r="J1571" s="49"/>
      <c r="K1571" s="49"/>
      <c r="L1571" s="50">
        <f>+D1584</f>
        <v>100000</v>
      </c>
      <c r="M1571" s="93">
        <f>-L1571</f>
        <v>-100000</v>
      </c>
      <c r="N1571" s="25"/>
    </row>
    <row r="1572" spans="1:15" ht="15.95" customHeight="1" x14ac:dyDescent="0.25">
      <c r="A1572" s="121"/>
      <c r="B1572" s="23"/>
      <c r="C1572" s="59"/>
      <c r="D1572" s="132"/>
      <c r="E1572" s="133"/>
      <c r="F1572" s="31"/>
      <c r="G1572" s="87"/>
      <c r="H1572" s="51">
        <f>IF(DAY(H1571)=DAY($H$1571),IF(WEEKDAY(EDATE(H1571,$D$1585),3)&lt;5,EDATE(H1571,$D$1585),WORKDAY(EDATE(H1571,$D$1585),1)),IF(WEEKDAY(EDATE($H$1571,$D$1585*COUNT($H$1571:H1571)),3)&lt;5,EDATE($H$1571,$D$1585*COUNT($H$1571:H1571)),WORKDAY(EDATE($H$1571,$D$1585*COUNT($H$1571:H1571)),1)))</f>
        <v>43859</v>
      </c>
      <c r="I1572" s="137" t="s">
        <v>13</v>
      </c>
      <c r="J1572" s="52">
        <f t="shared" ref="J1572:J1577" si="148">+(($D$1587/365)*(H1572-H1571))*L1571</f>
        <v>4279.8904109589048</v>
      </c>
      <c r="K1572" s="52">
        <f>+IF(OR(I1572="A + C",I1572="A"),$L$1571*$D$1588,0)</f>
        <v>16000</v>
      </c>
      <c r="L1572" s="53">
        <f t="shared" ref="L1572:L1577" si="149">+L1571-K1572</f>
        <v>84000</v>
      </c>
      <c r="M1572" s="94">
        <f t="shared" ref="M1572:M1577" si="150">+J1572+K1572</f>
        <v>20279.890410958906</v>
      </c>
      <c r="N1572" s="25"/>
      <c r="O1572" s="194" t="str">
        <f>+D1720</f>
        <v>ON Pyme CNV Garantizada</v>
      </c>
    </row>
    <row r="1573" spans="1:15" ht="15.95" customHeight="1" x14ac:dyDescent="0.25">
      <c r="A1573" s="121"/>
      <c r="B1573" s="23"/>
      <c r="C1573" s="60"/>
      <c r="D1573" s="134"/>
      <c r="E1573" s="135"/>
      <c r="F1573" s="34"/>
      <c r="G1573" s="88"/>
      <c r="H1573" s="51">
        <f>IF(DAY(H1572)=DAY($H$1571),IF(WEEKDAY(EDATE(H1572,$D$1585),3)&lt;5,EDATE(H1572,$D$1585),WORKDAY(EDATE(H1572,$D$1585),1)),IF(WEEKDAY(EDATE($H$1571,$D$1585*COUNT($H$1571:H1572)),3)&lt;5,EDATE($H$1571,$D$1585*COUNT($H$1571:H1572)),WORKDAY(EDATE($H$1571,$D$1585*COUNT($H$1571:H1572)),1)))</f>
        <v>44041</v>
      </c>
      <c r="I1573" s="137" t="s">
        <v>13</v>
      </c>
      <c r="J1573" s="52">
        <f t="shared" si="148"/>
        <v>3556.030684931507</v>
      </c>
      <c r="K1573" s="52">
        <f>+IF(OR(I1573="A + C",I1573="A"),$D$1584*$D$1588,0)</f>
        <v>16000</v>
      </c>
      <c r="L1573" s="53">
        <f t="shared" si="149"/>
        <v>68000</v>
      </c>
      <c r="M1573" s="94">
        <f t="shared" si="150"/>
        <v>19556.030684931506</v>
      </c>
      <c r="N1573" s="25"/>
    </row>
    <row r="1574" spans="1:15" ht="15.95" customHeight="1" x14ac:dyDescent="0.25">
      <c r="A1574" s="121"/>
      <c r="B1574" s="23"/>
      <c r="C1574" s="60"/>
      <c r="D1574" s="55" t="str">
        <f>B1562</f>
        <v>Overseas Properties I</v>
      </c>
      <c r="E1574" s="64"/>
      <c r="F1574" s="34"/>
      <c r="G1574" s="88">
        <f>J1564</f>
        <v>0</v>
      </c>
      <c r="H1574" s="51">
        <f>IF(DAY(H1573)=DAY($H$1571),IF(WEEKDAY(EDATE(H1573,$D$1585),3)&lt;5,EDATE(H1573,$D$1585),WORKDAY(EDATE(H1573,$D$1585),1)),IF(WEEKDAY(EDATE($H$1571,$D$1585*COUNT($H$1571:H1573)),3)&lt;5,EDATE($H$1571,$D$1585*COUNT($H$1571:H1573)),WORKDAY(EDATE($H$1571,$D$1585*COUNT($H$1571:H1573)),1)))</f>
        <v>44225</v>
      </c>
      <c r="I1574" s="137" t="s">
        <v>13</v>
      </c>
      <c r="J1574" s="52">
        <f t="shared" si="148"/>
        <v>2910.3254794520549</v>
      </c>
      <c r="K1574" s="52">
        <f>+IF(OR(I1574="A + C",I1574="A"),$D$1584*$D$1589,0)</f>
        <v>17000</v>
      </c>
      <c r="L1574" s="53">
        <f t="shared" si="149"/>
        <v>51000</v>
      </c>
      <c r="M1574" s="94">
        <f t="shared" si="150"/>
        <v>19910.325479452054</v>
      </c>
      <c r="N1574" s="25"/>
      <c r="O1574" s="194" t="str">
        <f>+IF(J1718="vencida",IF(D1720='Reporte - Oscuro'!$C$40,'Reporte - Oscuro'!$C$40&amp;" vencida",IF(D1720='Reporte - Oscuro'!$C$41,'Reporte - Oscuro'!$C$41&amp;" vencida",IF(D1720='Reporte - Oscuro'!$C$42,'Reporte - Oscuro'!$C$42&amp;" vencida",'Reporte - Oscuro'!$C$43&amp;" vencida"))),D1720&amp;" vigente")</f>
        <v>ON Pyme CNV Garantizada vencida</v>
      </c>
    </row>
    <row r="1575" spans="1:15" ht="15.95" customHeight="1" x14ac:dyDescent="0.25">
      <c r="A1575" s="121"/>
      <c r="B1575" s="32"/>
      <c r="D1575" s="644"/>
      <c r="E1575" s="660"/>
      <c r="F1575" s="34"/>
      <c r="G1575" s="88"/>
      <c r="H1575" s="51">
        <f>IF(DAY(H1574)=DAY($H$1571),IF(WEEKDAY(EDATE(H1574,$D$1585),3)&lt;5,EDATE(H1574,$D$1585),WORKDAY(EDATE(H1574,$D$1585),1)),IF(WEEKDAY(EDATE($H$1571,$D$1585*COUNT($H$1571:H1574)),3)&lt;5,EDATE($H$1571,$D$1585*COUNT($H$1571:H1574)),WORKDAY(EDATE($H$1571,$D$1585*COUNT($H$1571:H1574)),1)))</f>
        <v>44406</v>
      </c>
      <c r="I1575" s="137" t="s">
        <v>13</v>
      </c>
      <c r="J1575" s="52">
        <f t="shared" si="148"/>
        <v>2147.1558904109593</v>
      </c>
      <c r="K1575" s="52">
        <f>+IF(OR(I1575="A + C",I1575="A"),$D$1584*$D$1589,0)</f>
        <v>17000</v>
      </c>
      <c r="L1575" s="53">
        <f t="shared" si="149"/>
        <v>34000</v>
      </c>
      <c r="M1575" s="94">
        <f t="shared" si="150"/>
        <v>19147.155890410959</v>
      </c>
      <c r="N1575" s="25"/>
    </row>
    <row r="1576" spans="1:15" ht="15.95" customHeight="1" x14ac:dyDescent="0.25">
      <c r="A1576" s="121"/>
      <c r="B1576" s="23"/>
      <c r="C1576" s="638" t="s">
        <v>36</v>
      </c>
      <c r="D1576" s="640"/>
      <c r="E1576" s="36"/>
      <c r="F1576" s="34"/>
      <c r="G1576" s="88"/>
      <c r="H1576" s="51">
        <f>IF(DAY(H1575)=DAY($H$1571),IF(WEEKDAY(EDATE(H1575,$D$1585),3)&lt;5,EDATE(H1575,$D$1585),WORKDAY(EDATE(H1575,$D$1585),1)),IF(WEEKDAY(EDATE($H$1571,$D$1585*COUNT($H$1571:H1575)),3)&lt;5,EDATE($H$1571,$D$1585*COUNT($H$1571:H1575)),WORKDAY(EDATE($H$1571,$D$1585*COUNT($H$1571:H1575)),1)))</f>
        <v>44592</v>
      </c>
      <c r="I1576" s="137" t="s">
        <v>13</v>
      </c>
      <c r="J1576" s="52">
        <f t="shared" si="148"/>
        <v>1470.9797260273972</v>
      </c>
      <c r="K1576" s="52">
        <f>+IF(OR(I1576="A + C",I1576="A"),$D$1584*$D$1589,0)</f>
        <v>17000</v>
      </c>
      <c r="L1576" s="53">
        <f t="shared" si="149"/>
        <v>17000</v>
      </c>
      <c r="M1576" s="94">
        <f t="shared" si="150"/>
        <v>18470.979726027399</v>
      </c>
      <c r="N1576" s="25"/>
    </row>
    <row r="1577" spans="1:15" ht="15.95" customHeight="1" x14ac:dyDescent="0.25">
      <c r="A1577" s="121"/>
      <c r="B1577" s="23"/>
      <c r="C1577" s="59"/>
      <c r="D1577" s="62"/>
      <c r="E1577" s="36"/>
      <c r="F1577" s="36"/>
      <c r="G1577" s="89"/>
      <c r="H1577" s="51">
        <f>IF(DAY(H1576)=DAY($H$1571),IF(WEEKDAY(EDATE(H1576,$D$1585),3)&lt;5,EDATE(H1576,$D$1585),WORKDAY(EDATE(H1576,$D$1585),1)),IF(WEEKDAY(EDATE($H$1571,$D$1585*COUNT($H$1571:H1576)),3)&lt;5,EDATE($H$1571,$D$1585*COUNT($H$1571:H1576)),WORKDAY(EDATE($H$1571,$D$1585*COUNT($H$1571:H1576)),1)))</f>
        <v>44771</v>
      </c>
      <c r="I1577" s="137" t="s">
        <v>13</v>
      </c>
      <c r="J1577" s="52">
        <f t="shared" si="148"/>
        <v>707.81013698630147</v>
      </c>
      <c r="K1577" s="52">
        <f>+IF(OR(I1577="A + C",I1577="A"),$D$1584*$D$1589,0)</f>
        <v>17000</v>
      </c>
      <c r="L1577" s="53">
        <f t="shared" si="149"/>
        <v>0</v>
      </c>
      <c r="M1577" s="94">
        <f t="shared" si="150"/>
        <v>17707.8101369863</v>
      </c>
      <c r="N1577" s="25"/>
    </row>
    <row r="1578" spans="1:15" ht="15.95" customHeight="1" x14ac:dyDescent="0.25">
      <c r="A1578" s="121"/>
      <c r="B1578" s="23"/>
      <c r="C1578" s="59" t="s">
        <v>9</v>
      </c>
      <c r="D1578" s="129" t="s">
        <v>49</v>
      </c>
      <c r="E1578" s="36"/>
      <c r="F1578" s="36"/>
      <c r="G1578" s="89"/>
      <c r="H1578" s="54"/>
      <c r="I1578" s="144"/>
      <c r="J1578" s="55"/>
      <c r="K1578" s="56"/>
      <c r="L1578" s="57"/>
      <c r="M1578" s="94"/>
      <c r="N1578" s="25"/>
    </row>
    <row r="1579" spans="1:15" ht="15.95" customHeight="1" x14ac:dyDescent="0.25">
      <c r="A1579" s="121"/>
      <c r="B1579" s="23"/>
      <c r="C1579" s="59" t="s">
        <v>51</v>
      </c>
      <c r="D1579" s="138" t="s">
        <v>18</v>
      </c>
      <c r="E1579" s="36"/>
      <c r="F1579" s="36"/>
      <c r="G1579" s="89"/>
      <c r="H1579" s="24"/>
      <c r="I1579" s="24"/>
      <c r="J1579" s="24"/>
      <c r="K1579" s="24"/>
      <c r="L1579" s="24"/>
      <c r="M1579" s="24"/>
      <c r="N1579" s="25"/>
      <c r="O1579" s="97">
        <f>+M1723</f>
        <v>-600000</v>
      </c>
    </row>
    <row r="1580" spans="1:15" ht="15.95" customHeight="1" x14ac:dyDescent="0.25">
      <c r="A1580" s="121"/>
      <c r="B1580" s="23"/>
      <c r="C1580" s="59" t="s">
        <v>52</v>
      </c>
      <c r="D1580" s="138" t="s">
        <v>18</v>
      </c>
      <c r="E1580" s="36"/>
      <c r="F1580" s="36"/>
      <c r="G1580" s="89"/>
      <c r="H1580" s="680" t="s">
        <v>43</v>
      </c>
      <c r="I1580" s="680"/>
      <c r="J1580" s="92">
        <v>0</v>
      </c>
      <c r="K1580" s="92"/>
      <c r="L1580" s="24"/>
      <c r="M1580" s="24"/>
      <c r="N1580" s="25"/>
      <c r="O1580" s="97">
        <f t="shared" ref="O1580:O1587" si="151">+M1724+O1579</f>
        <v>-584934.24657534249</v>
      </c>
    </row>
    <row r="1581" spans="1:15" ht="15.95" customHeight="1" x14ac:dyDescent="0.25">
      <c r="A1581" s="121"/>
      <c r="B1581" s="23"/>
      <c r="C1581" s="59" t="s">
        <v>10</v>
      </c>
      <c r="D1581" s="139">
        <v>43670</v>
      </c>
      <c r="E1581" s="36"/>
      <c r="F1581" s="36"/>
      <c r="G1581" s="89"/>
      <c r="H1581" s="657"/>
      <c r="I1581" s="657"/>
      <c r="J1581" s="392"/>
      <c r="K1581" s="24"/>
      <c r="L1581" s="33"/>
      <c r="M1581" s="33"/>
      <c r="N1581" s="25"/>
      <c r="O1581" s="97">
        <f t="shared" si="151"/>
        <v>-484635.02935420745</v>
      </c>
    </row>
    <row r="1582" spans="1:15" ht="15.95" customHeight="1" x14ac:dyDescent="0.25">
      <c r="A1582" s="121"/>
      <c r="B1582" s="23"/>
      <c r="C1582" s="59" t="s">
        <v>11</v>
      </c>
      <c r="D1582" s="139">
        <v>43675</v>
      </c>
      <c r="E1582" s="41"/>
      <c r="F1582" s="24"/>
      <c r="G1582" s="90"/>
      <c r="H1582" s="24"/>
      <c r="I1582" s="24"/>
      <c r="J1582" s="24"/>
      <c r="K1582" s="24"/>
      <c r="L1582" s="24"/>
      <c r="M1582" s="24"/>
      <c r="N1582" s="25"/>
      <c r="O1582" s="97">
        <f t="shared" si="151"/>
        <v>-386831.50684931508</v>
      </c>
    </row>
    <row r="1583" spans="1:15" ht="15.95" customHeight="1" x14ac:dyDescent="0.25">
      <c r="A1583" s="121"/>
      <c r="B1583" s="23"/>
      <c r="C1583" s="59" t="s">
        <v>12</v>
      </c>
      <c r="D1583" s="139">
        <v>44771</v>
      </c>
      <c r="E1583" s="36"/>
      <c r="F1583" s="24"/>
      <c r="G1583" s="90"/>
      <c r="H1583" s="638" t="s">
        <v>44</v>
      </c>
      <c r="I1583" s="639"/>
      <c r="J1583" s="639"/>
      <c r="K1583" s="639"/>
      <c r="L1583" s="639"/>
      <c r="M1583" s="640"/>
      <c r="N1583" s="25"/>
      <c r="O1583" s="97">
        <f t="shared" si="151"/>
        <v>-290355.9686888454</v>
      </c>
    </row>
    <row r="1584" spans="1:15" ht="15.95" customHeight="1" x14ac:dyDescent="0.25">
      <c r="A1584" s="121"/>
      <c r="B1584" s="23"/>
      <c r="C1584" s="59" t="s">
        <v>27</v>
      </c>
      <c r="D1584" s="140">
        <v>100000</v>
      </c>
      <c r="E1584" s="43"/>
      <c r="F1584" s="24"/>
      <c r="G1584" s="90"/>
      <c r="H1584" s="23"/>
      <c r="I1584" s="24"/>
      <c r="J1584" s="24"/>
      <c r="K1584" s="24"/>
      <c r="L1584" s="24"/>
      <c r="M1584" s="25"/>
      <c r="N1584" s="25"/>
      <c r="O1584" s="97">
        <f t="shared" si="151"/>
        <v>-196307.43639921723</v>
      </c>
    </row>
    <row r="1585" spans="1:15" ht="15.95" customHeight="1" x14ac:dyDescent="0.25">
      <c r="A1585" s="121"/>
      <c r="B1585" s="23"/>
      <c r="C1585" s="59" t="s">
        <v>26</v>
      </c>
      <c r="D1585" s="140">
        <v>6</v>
      </c>
      <c r="E1585" s="43"/>
      <c r="F1585" s="24"/>
      <c r="G1585" s="90"/>
      <c r="H1585" s="23"/>
      <c r="I1585" s="24"/>
      <c r="J1585" s="24"/>
      <c r="K1585" s="24"/>
      <c r="L1585" s="24"/>
      <c r="M1585" s="25"/>
      <c r="N1585" s="25"/>
      <c r="O1585" s="97">
        <f t="shared" si="151"/>
        <v>-104342.46575342467</v>
      </c>
    </row>
    <row r="1586" spans="1:15" ht="15.95" customHeight="1" x14ac:dyDescent="0.25">
      <c r="A1586" s="121"/>
      <c r="B1586" s="23"/>
      <c r="C1586" s="59" t="s">
        <v>19</v>
      </c>
      <c r="D1586" s="141" t="s">
        <v>50</v>
      </c>
      <c r="E1586" s="43"/>
      <c r="F1586" s="24"/>
      <c r="G1586" s="90"/>
      <c r="H1586" s="96"/>
      <c r="I1586" s="35"/>
      <c r="J1586" s="24"/>
      <c r="K1586" s="24"/>
      <c r="L1586" s="24"/>
      <c r="M1586" s="25"/>
      <c r="N1586" s="25"/>
      <c r="O1586" s="97">
        <f t="shared" si="151"/>
        <v>-14461.056751467724</v>
      </c>
    </row>
    <row r="1587" spans="1:15" ht="15.95" customHeight="1" x14ac:dyDescent="0.25">
      <c r="A1587" s="121"/>
      <c r="B1587" s="23"/>
      <c r="C1587" s="59" t="s">
        <v>14</v>
      </c>
      <c r="D1587" s="142">
        <v>8.4900000000000003E-2</v>
      </c>
      <c r="E1587" s="44"/>
      <c r="F1587" s="24"/>
      <c r="G1587" s="90"/>
      <c r="H1587" s="23"/>
      <c r="I1587" s="24"/>
      <c r="J1587" s="24"/>
      <c r="K1587" s="24"/>
      <c r="L1587" s="24"/>
      <c r="M1587" s="25"/>
      <c r="N1587" s="25"/>
      <c r="O1587" s="97">
        <f t="shared" si="151"/>
        <v>73336.790606653609</v>
      </c>
    </row>
    <row r="1588" spans="1:15" ht="15.95" customHeight="1" x14ac:dyDescent="0.25">
      <c r="A1588" s="121"/>
      <c r="B1588" s="23"/>
      <c r="C1588" s="59" t="s">
        <v>219</v>
      </c>
      <c r="D1588" s="142">
        <v>0.16</v>
      </c>
      <c r="E1588" s="24"/>
      <c r="F1588" s="24"/>
      <c r="G1588" s="90"/>
      <c r="H1588" s="23"/>
      <c r="I1588" s="24"/>
      <c r="J1588" s="24"/>
      <c r="K1588" s="24"/>
      <c r="L1588" s="24"/>
      <c r="M1588" s="25"/>
      <c r="N1588" s="25"/>
    </row>
    <row r="1589" spans="1:15" ht="15.95" customHeight="1" x14ac:dyDescent="0.25">
      <c r="A1589" s="121"/>
      <c r="B1589" s="23"/>
      <c r="C1589" s="59" t="s">
        <v>220</v>
      </c>
      <c r="D1589" s="142">
        <v>0.17</v>
      </c>
      <c r="E1589" s="24"/>
      <c r="F1589" s="24"/>
      <c r="G1589" s="90"/>
      <c r="H1589" s="23"/>
      <c r="I1589" s="24"/>
      <c r="J1589" s="24"/>
      <c r="K1589" s="24"/>
      <c r="L1589" s="24"/>
      <c r="M1589" s="25"/>
      <c r="N1589" s="25"/>
    </row>
    <row r="1590" spans="1:15" ht="15.95" customHeight="1" x14ac:dyDescent="0.25">
      <c r="A1590" s="121"/>
      <c r="B1590" s="23"/>
      <c r="C1590" s="63"/>
      <c r="D1590" s="145"/>
      <c r="E1590" s="24"/>
      <c r="F1590" s="24"/>
      <c r="G1590" s="90"/>
      <c r="H1590" s="23"/>
      <c r="I1590" s="24"/>
      <c r="J1590" s="24"/>
      <c r="K1590" s="24"/>
      <c r="L1590" s="24"/>
      <c r="M1590" s="25"/>
      <c r="N1590" s="25"/>
    </row>
    <row r="1591" spans="1:15" ht="15.95" customHeight="1" x14ac:dyDescent="0.25">
      <c r="A1591" s="121"/>
      <c r="B1591" s="23"/>
      <c r="C1591" s="24"/>
      <c r="D1591" s="24"/>
      <c r="E1591" s="24"/>
      <c r="F1591" s="24"/>
      <c r="G1591" s="90"/>
      <c r="H1591" s="23"/>
      <c r="I1591" s="24"/>
      <c r="J1591" s="24"/>
      <c r="K1591" s="24"/>
      <c r="L1591" s="24"/>
      <c r="M1591" s="25"/>
      <c r="N1591" s="25"/>
    </row>
    <row r="1592" spans="1:15" ht="15.95" customHeight="1" x14ac:dyDescent="0.25">
      <c r="A1592" s="121"/>
      <c r="B1592" s="23"/>
      <c r="C1592" s="24"/>
      <c r="D1592" s="24"/>
      <c r="E1592" s="24"/>
      <c r="F1592" s="24"/>
      <c r="G1592" s="90"/>
      <c r="H1592" s="23"/>
      <c r="I1592" s="24"/>
      <c r="J1592" s="24"/>
      <c r="K1592" s="24"/>
      <c r="L1592" s="24"/>
      <c r="M1592" s="25"/>
      <c r="N1592" s="25"/>
    </row>
    <row r="1593" spans="1:15" ht="15.95" customHeight="1" x14ac:dyDescent="0.25">
      <c r="A1593" s="121"/>
      <c r="B1593" s="23"/>
      <c r="C1593" s="24"/>
      <c r="D1593" s="24"/>
      <c r="E1593" s="24"/>
      <c r="F1593" s="24"/>
      <c r="G1593" s="90"/>
      <c r="H1593" s="23"/>
      <c r="I1593" s="24"/>
      <c r="J1593" s="24"/>
      <c r="K1593" s="24"/>
      <c r="L1593" s="24"/>
      <c r="M1593" s="25"/>
      <c r="N1593" s="25"/>
    </row>
    <row r="1594" spans="1:15" ht="15.95" customHeight="1" x14ac:dyDescent="0.25">
      <c r="A1594" s="121"/>
      <c r="B1594" s="23"/>
      <c r="C1594" s="24"/>
      <c r="D1594" s="24"/>
      <c r="E1594" s="24"/>
      <c r="F1594" s="24"/>
      <c r="G1594" s="90"/>
      <c r="H1594" s="23"/>
      <c r="I1594" s="24"/>
      <c r="J1594" s="24"/>
      <c r="K1594" s="24"/>
      <c r="L1594" s="24"/>
      <c r="M1594" s="25"/>
      <c r="N1594" s="25"/>
    </row>
    <row r="1595" spans="1:15" ht="15.95" customHeight="1" x14ac:dyDescent="0.25">
      <c r="A1595" s="121"/>
      <c r="B1595" s="23"/>
      <c r="C1595" s="24"/>
      <c r="D1595" s="24"/>
      <c r="E1595" s="24"/>
      <c r="F1595" s="24"/>
      <c r="G1595" s="90"/>
      <c r="H1595" s="26"/>
      <c r="I1595" s="27"/>
      <c r="J1595" s="27"/>
      <c r="K1595" s="27"/>
      <c r="L1595" s="27"/>
      <c r="M1595" s="28"/>
      <c r="N1595" s="25"/>
    </row>
    <row r="1596" spans="1:15" ht="15.95" customHeight="1" x14ac:dyDescent="0.25">
      <c r="A1596" s="121"/>
      <c r="B1596" s="26"/>
      <c r="C1596" s="85"/>
      <c r="D1596" s="27"/>
      <c r="E1596" s="27"/>
      <c r="F1596" s="27"/>
      <c r="G1596" s="91"/>
      <c r="H1596" s="27"/>
      <c r="I1596" s="27"/>
      <c r="J1596" s="27"/>
      <c r="K1596" s="27"/>
      <c r="L1596" s="27"/>
      <c r="M1596" s="27"/>
      <c r="N1596" s="28"/>
    </row>
    <row r="1597" spans="1:15" ht="15.95" customHeight="1" x14ac:dyDescent="0.25">
      <c r="A1597" s="121"/>
      <c r="B1597" s="23"/>
      <c r="C1597" s="24"/>
      <c r="D1597" s="24"/>
      <c r="E1597" s="24"/>
      <c r="F1597" s="24"/>
      <c r="G1597" s="24"/>
      <c r="H1597" s="24"/>
      <c r="I1597" s="24"/>
      <c r="J1597" s="24"/>
      <c r="K1597" s="24"/>
      <c r="L1597" s="24"/>
      <c r="M1597" s="24"/>
      <c r="N1597" s="25"/>
    </row>
    <row r="1598" spans="1:15" ht="15.95" customHeight="1" x14ac:dyDescent="0.25">
      <c r="A1598" s="122" t="s">
        <v>131</v>
      </c>
      <c r="B1598" s="683" t="s">
        <v>208</v>
      </c>
      <c r="C1598" s="684"/>
      <c r="D1598" s="684"/>
      <c r="E1598" s="684"/>
      <c r="F1598" s="684"/>
      <c r="G1598" s="684"/>
      <c r="H1598" s="684"/>
      <c r="I1598" s="684"/>
      <c r="J1598" s="684"/>
      <c r="K1598" s="684"/>
      <c r="L1598" s="684"/>
      <c r="M1598" s="684"/>
      <c r="N1598" s="685"/>
    </row>
    <row r="1599" spans="1:15" ht="15.95" customHeight="1" x14ac:dyDescent="0.25">
      <c r="A1599" s="121"/>
      <c r="B1599" s="23"/>
      <c r="C1599" s="24"/>
      <c r="D1599" s="24"/>
      <c r="E1599" s="24"/>
      <c r="F1599" s="31"/>
      <c r="G1599" s="87"/>
      <c r="H1599" s="31"/>
      <c r="I1599" s="31"/>
      <c r="J1599" s="24"/>
      <c r="K1599" s="24"/>
      <c r="L1599" s="24"/>
      <c r="M1599" s="24"/>
      <c r="N1599" s="25"/>
    </row>
    <row r="1600" spans="1:15" ht="15.95" customHeight="1" x14ac:dyDescent="0.25">
      <c r="A1600" s="121"/>
      <c r="B1600" s="23"/>
      <c r="C1600" s="638" t="s">
        <v>37</v>
      </c>
      <c r="D1600" s="639"/>
      <c r="E1600" s="640"/>
      <c r="F1600" s="31"/>
      <c r="G1600" s="87"/>
      <c r="H1600" s="641" t="s">
        <v>28</v>
      </c>
      <c r="I1600" s="642"/>
      <c r="J1600" s="39">
        <f>+$D$1620-SUMIF($H$1606:$H$1620,"&lt;"&amp;$M$4,$K$1606:$K$1620)</f>
        <v>0</v>
      </c>
      <c r="K1600" s="24"/>
      <c r="L1600" s="24"/>
      <c r="M1600" s="24"/>
      <c r="N1600" s="25"/>
    </row>
    <row r="1601" spans="1:15" ht="15.95" customHeight="1" x14ac:dyDescent="0.25">
      <c r="A1601" s="121"/>
      <c r="B1601" s="23"/>
      <c r="C1601" s="58"/>
      <c r="D1601" s="664"/>
      <c r="E1601" s="665"/>
      <c r="F1601" s="31"/>
      <c r="G1601" s="87"/>
      <c r="H1601" s="645" t="s">
        <v>29</v>
      </c>
      <c r="I1601" s="646"/>
      <c r="J1601" s="40">
        <f>+$D$1619</f>
        <v>44452</v>
      </c>
      <c r="K1601" s="24"/>
      <c r="L1601" s="24"/>
      <c r="M1601" s="24"/>
      <c r="N1601" s="25"/>
    </row>
    <row r="1602" spans="1:15" ht="15.95" customHeight="1" x14ac:dyDescent="0.25">
      <c r="A1602" s="121"/>
      <c r="B1602" s="23"/>
      <c r="C1602" s="59" t="s">
        <v>25</v>
      </c>
      <c r="D1602" s="681"/>
      <c r="E1602" s="682"/>
      <c r="F1602" s="31"/>
      <c r="G1602" s="87"/>
      <c r="H1602" s="649" t="s">
        <v>30</v>
      </c>
      <c r="I1602" s="650"/>
      <c r="J1602" s="42" t="str">
        <f t="array" ref="J1602">+IF(H1619&gt;=M4,MIN(IF($H$1606:$H$1620&gt;$M$4,$H$1606:$H$1620,"")),"vencida")</f>
        <v>vencida</v>
      </c>
      <c r="K1602" s="24"/>
      <c r="L1602" s="24"/>
      <c r="M1602" s="24"/>
      <c r="N1602" s="25"/>
    </row>
    <row r="1603" spans="1:15" ht="15.95" customHeight="1" x14ac:dyDescent="0.25">
      <c r="A1603" s="121"/>
      <c r="B1603" s="23"/>
      <c r="C1603" s="59" t="s">
        <v>6</v>
      </c>
      <c r="D1603" s="681" t="s">
        <v>227</v>
      </c>
      <c r="E1603" s="682"/>
      <c r="F1603" s="31"/>
      <c r="G1603" s="87"/>
      <c r="H1603" s="24"/>
      <c r="I1603" s="24"/>
      <c r="J1603" s="24"/>
      <c r="K1603" s="24"/>
      <c r="L1603" s="24"/>
      <c r="M1603" s="24"/>
      <c r="N1603" s="25"/>
    </row>
    <row r="1604" spans="1:15" ht="15.95" customHeight="1" x14ac:dyDescent="0.25">
      <c r="A1604" s="121"/>
      <c r="B1604" s="23"/>
      <c r="C1604" s="59" t="s">
        <v>8</v>
      </c>
      <c r="D1604" s="681" t="s">
        <v>17</v>
      </c>
      <c r="E1604" s="682"/>
      <c r="F1604" s="31"/>
      <c r="G1604" s="87"/>
      <c r="H1604" s="651" t="s">
        <v>41</v>
      </c>
      <c r="I1604" s="652"/>
      <c r="J1604" s="652"/>
      <c r="K1604" s="652"/>
      <c r="L1604" s="653"/>
      <c r="M1604" s="24"/>
      <c r="N1604" s="25"/>
    </row>
    <row r="1605" spans="1:15" ht="20.100000000000001" customHeight="1" x14ac:dyDescent="0.25">
      <c r="A1605" s="121"/>
      <c r="B1605" s="23"/>
      <c r="C1605" s="59" t="s">
        <v>33</v>
      </c>
      <c r="D1605" s="132" t="s">
        <v>309</v>
      </c>
      <c r="E1605" s="274">
        <v>1</v>
      </c>
      <c r="F1605" s="281">
        <f>+E1605*J1600</f>
        <v>0</v>
      </c>
      <c r="G1605" s="87"/>
      <c r="H1605" s="126" t="s">
        <v>0</v>
      </c>
      <c r="I1605" s="127" t="s">
        <v>2</v>
      </c>
      <c r="J1605" s="127" t="s">
        <v>3</v>
      </c>
      <c r="K1605" s="127" t="s">
        <v>4</v>
      </c>
      <c r="L1605" s="128" t="s">
        <v>5</v>
      </c>
      <c r="M1605" s="127" t="s">
        <v>44</v>
      </c>
      <c r="N1605" s="25"/>
    </row>
    <row r="1606" spans="1:15" ht="15.95" customHeight="1" x14ac:dyDescent="0.25">
      <c r="A1606" s="121"/>
      <c r="B1606" s="23"/>
      <c r="C1606" s="59" t="s">
        <v>34</v>
      </c>
      <c r="D1606" s="681" t="s">
        <v>48</v>
      </c>
      <c r="E1606" s="682"/>
      <c r="F1606" s="31"/>
      <c r="G1606" s="87"/>
      <c r="H1606" s="45"/>
      <c r="I1606" s="46"/>
      <c r="J1606" s="46"/>
      <c r="K1606" s="46"/>
      <c r="L1606" s="47"/>
      <c r="M1606" s="23"/>
      <c r="N1606" s="25"/>
    </row>
    <row r="1607" spans="1:15" ht="20.100000000000001" customHeight="1" x14ac:dyDescent="0.25">
      <c r="A1607" s="121"/>
      <c r="B1607" s="23"/>
      <c r="C1607" s="79" t="s">
        <v>38</v>
      </c>
      <c r="D1607" s="130"/>
      <c r="E1607" s="131"/>
      <c r="F1607" s="31"/>
      <c r="G1607" s="87"/>
      <c r="H1607" s="48">
        <f>+$D$1618</f>
        <v>43356</v>
      </c>
      <c r="I1607" s="136"/>
      <c r="J1607" s="49"/>
      <c r="K1607" s="49"/>
      <c r="L1607" s="50">
        <f>+D1620</f>
        <v>500000</v>
      </c>
      <c r="M1607" s="93">
        <f>-L1607</f>
        <v>-500000</v>
      </c>
      <c r="N1607" s="25"/>
    </row>
    <row r="1608" spans="1:15" ht="15.95" customHeight="1" x14ac:dyDescent="0.25">
      <c r="A1608" s="121"/>
      <c r="B1608" s="23"/>
      <c r="C1608" s="59"/>
      <c r="D1608" s="132"/>
      <c r="E1608" s="133"/>
      <c r="F1608" s="31"/>
      <c r="G1608" s="87"/>
      <c r="H1608" s="51">
        <f>IF(DAY(H1607)=DAY($H$1607),IF(WEEKDAY(EDATE(H1607,$D$1621),3)&lt;5,EDATE(H1607,$D$1621),WORKDAY(EDATE(H1607,$D$1621),1)),IF(WEEKDAY(EDATE($H$1607,$D$1621*COUNT($H$1607:H1607)),3)&lt;5,EDATE($H$1607,$D$1621*COUNT($H$1607:H1607)),WORKDAY(EDATE($H$1607,$D$1621*COUNT($H$1607:H1607)),1)))</f>
        <v>43447</v>
      </c>
      <c r="I1608" s="137" t="s">
        <v>13</v>
      </c>
      <c r="J1608" s="52">
        <f t="shared" ref="J1608:J1619" si="152">+(($D$1623/365)*(H1608-H1607))*L1607</f>
        <v>11967.123287671233</v>
      </c>
      <c r="K1608" s="52">
        <f>+IF(OR(I1608="A + C",I1608="A"),$L$1607*$D$1624,0)</f>
        <v>41650</v>
      </c>
      <c r="L1608" s="53">
        <f t="shared" ref="L1608:L1619" si="153">+L1607-K1608</f>
        <v>458350</v>
      </c>
      <c r="M1608" s="94">
        <f t="shared" ref="M1608:M1619" si="154">+J1608+K1608</f>
        <v>53617.123287671231</v>
      </c>
      <c r="N1608" s="25"/>
    </row>
    <row r="1609" spans="1:15" ht="15.95" customHeight="1" x14ac:dyDescent="0.25">
      <c r="A1609" s="121"/>
      <c r="B1609" s="23"/>
      <c r="C1609" s="60"/>
      <c r="D1609" s="134"/>
      <c r="E1609" s="135"/>
      <c r="F1609" s="34"/>
      <c r="G1609" s="88"/>
      <c r="H1609" s="51">
        <f>IF(DAY(H1608)=DAY($H$1607),IF(WEEKDAY(EDATE(H1608,$D$1621),3)&lt;5,EDATE(H1608,$D$1621),WORKDAY(EDATE(H1608,$D$1621),1)),IF(WEEKDAY(EDATE($H$1607,$D$1621*COUNT($H$1607:H1608)),3)&lt;5,EDATE($H$1607,$D$1621*COUNT($H$1607:H1608)),WORKDAY(EDATE($H$1607,$D$1621*COUNT($H$1607:H1608)),1)))</f>
        <v>43537</v>
      </c>
      <c r="I1609" s="137" t="s">
        <v>13</v>
      </c>
      <c r="J1609" s="52">
        <f t="shared" si="152"/>
        <v>10849.709589041096</v>
      </c>
      <c r="K1609" s="52">
        <f t="shared" ref="K1609:K1615" si="155">+IF(OR(I1609="A + C",I1609="A"),$D$1620*$D$1624,0)</f>
        <v>41650</v>
      </c>
      <c r="L1609" s="53">
        <f t="shared" si="153"/>
        <v>416700</v>
      </c>
      <c r="M1609" s="94">
        <f t="shared" si="154"/>
        <v>52499.7095890411</v>
      </c>
      <c r="N1609" s="25"/>
      <c r="O1609" s="194" t="str">
        <f>+D1760</f>
        <v>ON Pyme CNV Garantizada</v>
      </c>
    </row>
    <row r="1610" spans="1:15" ht="15.95" customHeight="1" x14ac:dyDescent="0.25">
      <c r="A1610" s="121"/>
      <c r="B1610" s="23"/>
      <c r="C1610" s="60"/>
      <c r="D1610" s="55" t="str">
        <f>B1598</f>
        <v>Paranagro I</v>
      </c>
      <c r="E1610" s="64"/>
      <c r="F1610" s="34"/>
      <c r="G1610" s="88">
        <f>J1600</f>
        <v>0</v>
      </c>
      <c r="H1610" s="51">
        <f>IF(DAY(H1609)=DAY($H$1607),IF(WEEKDAY(EDATE(H1609,$D$1621),3)&lt;5,EDATE(H1609,$D$1621),WORKDAY(EDATE(H1609,$D$1621),1)),IF(WEEKDAY(EDATE($H$1607,$D$1621*COUNT($H$1607:H1609)),3)&lt;5,EDATE($H$1607,$D$1621*COUNT($H$1607:H1609)),WORKDAY(EDATE($H$1607,$D$1621*COUNT($H$1607:H1609)),1)))</f>
        <v>43629</v>
      </c>
      <c r="I1610" s="137" t="s">
        <v>13</v>
      </c>
      <c r="J1610" s="52">
        <f t="shared" si="152"/>
        <v>10082.998356164386</v>
      </c>
      <c r="K1610" s="52">
        <f t="shared" si="155"/>
        <v>41650</v>
      </c>
      <c r="L1610" s="53">
        <f t="shared" si="153"/>
        <v>375050</v>
      </c>
      <c r="M1610" s="94">
        <f t="shared" si="154"/>
        <v>51732.998356164389</v>
      </c>
      <c r="N1610" s="25"/>
    </row>
    <row r="1611" spans="1:15" ht="15.95" customHeight="1" x14ac:dyDescent="0.25">
      <c r="A1611" s="121"/>
      <c r="B1611" s="32"/>
      <c r="D1611" s="644"/>
      <c r="E1611" s="660"/>
      <c r="F1611" s="34"/>
      <c r="G1611" s="88"/>
      <c r="H1611" s="51">
        <f>IF(DAY(H1610)=DAY($H$1607),IF(WEEKDAY(EDATE(H1610,$D$1621),3)&lt;5,EDATE(H1610,$D$1621),WORKDAY(EDATE(H1610,$D$1621),1)),IF(WEEKDAY(EDATE($H$1607,$D$1621*COUNT($H$1607:H1610)),3)&lt;5,EDATE($H$1607,$D$1621*COUNT($H$1607:H1610)),WORKDAY(EDATE($H$1607,$D$1621*COUNT($H$1607:H1610)),1)))</f>
        <v>43721</v>
      </c>
      <c r="I1611" s="137" t="s">
        <v>13</v>
      </c>
      <c r="J1611" s="52">
        <f t="shared" si="152"/>
        <v>9075.1824657534253</v>
      </c>
      <c r="K1611" s="52">
        <f t="shared" si="155"/>
        <v>41650</v>
      </c>
      <c r="L1611" s="53">
        <f t="shared" si="153"/>
        <v>333400</v>
      </c>
      <c r="M1611" s="94">
        <f t="shared" si="154"/>
        <v>50725.182465753423</v>
      </c>
      <c r="N1611" s="25"/>
      <c r="O1611" s="194" t="str">
        <f>+IF(J1758="vencida",IF(D1760='Reporte - Oscuro'!$C$40,'Reporte - Oscuro'!$C$40&amp;" vencida",IF(D1760='Reporte - Oscuro'!$C$41,'Reporte - Oscuro'!$C$41&amp;" vencida",IF(D1760='Reporte - Oscuro'!$C$42,'Reporte - Oscuro'!$C$42&amp;" vencida",'Reporte - Oscuro'!$C$43&amp;" vencida"))),D1760&amp;" vigente")</f>
        <v>ON Pyme CNV Garantizada vencida</v>
      </c>
    </row>
    <row r="1612" spans="1:15" ht="15.95" customHeight="1" x14ac:dyDescent="0.25">
      <c r="A1612" s="121"/>
      <c r="B1612" s="23"/>
      <c r="C1612" s="638" t="s">
        <v>36</v>
      </c>
      <c r="D1612" s="640"/>
      <c r="E1612" s="36"/>
      <c r="F1612" s="34"/>
      <c r="G1612" s="88"/>
      <c r="H1612" s="51">
        <f>IF(DAY(H1611)=DAY($H$1607),IF(WEEKDAY(EDATE(H1611,$D$1621),3)&lt;5,EDATE(H1611,$D$1621),WORKDAY(EDATE(H1611,$D$1621),1)),IF(WEEKDAY(EDATE($H$1607,$D$1621*COUNT($H$1607:H1611)),3)&lt;5,EDATE($H$1607,$D$1621*COUNT($H$1607:H1611)),WORKDAY(EDATE($H$1607,$D$1621*COUNT($H$1607:H1611)),1)))</f>
        <v>43812</v>
      </c>
      <c r="I1612" s="137" t="s">
        <v>13</v>
      </c>
      <c r="J1612" s="52">
        <f t="shared" si="152"/>
        <v>7979.6778082191786</v>
      </c>
      <c r="K1612" s="52">
        <f t="shared" si="155"/>
        <v>41650</v>
      </c>
      <c r="L1612" s="53">
        <f t="shared" si="153"/>
        <v>291750</v>
      </c>
      <c r="M1612" s="94">
        <f t="shared" si="154"/>
        <v>49629.677808219181</v>
      </c>
      <c r="N1612" s="25"/>
    </row>
    <row r="1613" spans="1:15" ht="15.95" customHeight="1" x14ac:dyDescent="0.25">
      <c r="A1613" s="121"/>
      <c r="B1613" s="23"/>
      <c r="C1613" s="59"/>
      <c r="D1613" s="62"/>
      <c r="E1613" s="36"/>
      <c r="F1613" s="36"/>
      <c r="G1613" s="89"/>
      <c r="H1613" s="51">
        <f>IF(DAY(H1612)=DAY($H$1607),IF(WEEKDAY(EDATE(H1612,$D$1621),3)&lt;5,EDATE(H1612,$D$1621),WORKDAY(EDATE(H1612,$D$1621),1)),IF(WEEKDAY(EDATE($H$1607,$D$1621*COUNT($H$1607:H1612)),3)&lt;5,EDATE($H$1607,$D$1621*COUNT($H$1607:H1612)),WORKDAY(EDATE($H$1607,$D$1621*COUNT($H$1607:H1612)),1)))</f>
        <v>43903</v>
      </c>
      <c r="I1613" s="137" t="s">
        <v>13</v>
      </c>
      <c r="J1613" s="52">
        <f t="shared" si="152"/>
        <v>6982.8164383561652</v>
      </c>
      <c r="K1613" s="52">
        <f t="shared" si="155"/>
        <v>41650</v>
      </c>
      <c r="L1613" s="53">
        <f t="shared" si="153"/>
        <v>250100</v>
      </c>
      <c r="M1613" s="94">
        <f t="shared" si="154"/>
        <v>48632.816438356167</v>
      </c>
      <c r="N1613" s="25"/>
    </row>
    <row r="1614" spans="1:15" ht="15.95" customHeight="1" x14ac:dyDescent="0.25">
      <c r="A1614" s="121"/>
      <c r="B1614" s="23"/>
      <c r="C1614" s="59" t="s">
        <v>9</v>
      </c>
      <c r="D1614" s="129" t="s">
        <v>49</v>
      </c>
      <c r="E1614" s="36"/>
      <c r="F1614" s="36"/>
      <c r="G1614" s="89"/>
      <c r="H1614" s="51">
        <f>IF(DAY(H1613)=DAY($H$1607),IF(WEEKDAY(EDATE(H1613,$D$1621),3)&lt;5,EDATE(H1613,$D$1621),WORKDAY(EDATE(H1613,$D$1621),1)),IF(WEEKDAY(EDATE($H$1607,$D$1621*COUNT($H$1607:H1613)),3)&lt;5,EDATE($H$1607,$D$1621*COUNT($H$1607:H1613)),WORKDAY(EDATE($H$1607,$D$1621*COUNT($H$1607:H1613)),1)))</f>
        <v>43997</v>
      </c>
      <c r="I1614" s="137" t="s">
        <v>13</v>
      </c>
      <c r="J1614" s="52">
        <f t="shared" si="152"/>
        <v>6183.2942465753431</v>
      </c>
      <c r="K1614" s="52">
        <f t="shared" si="155"/>
        <v>41650</v>
      </c>
      <c r="L1614" s="53">
        <f t="shared" si="153"/>
        <v>208450</v>
      </c>
      <c r="M1614" s="94">
        <f t="shared" si="154"/>
        <v>47833.294246575344</v>
      </c>
      <c r="N1614" s="25"/>
    </row>
    <row r="1615" spans="1:15" ht="15.95" customHeight="1" x14ac:dyDescent="0.25">
      <c r="A1615" s="121"/>
      <c r="B1615" s="23"/>
      <c r="C1615" s="59" t="s">
        <v>51</v>
      </c>
      <c r="D1615" s="138" t="s">
        <v>18</v>
      </c>
      <c r="E1615" s="36"/>
      <c r="F1615" s="36"/>
      <c r="G1615" s="89"/>
      <c r="H1615" s="51">
        <f>IF(DAY(H1614)=DAY($H$1607),IF(WEEKDAY(EDATE(H1614,$D$1621),3)&lt;5,EDATE(H1614,$D$1621),WORKDAY(EDATE(H1614,$D$1621),1)),IF(WEEKDAY(EDATE($H$1607,$D$1621*COUNT($H$1607:H1614)),3)&lt;5,EDATE($H$1607,$D$1621*COUNT($H$1607:H1614)),WORKDAY(EDATE($H$1607,$D$1621*COUNT($H$1607:H1614)),1)))</f>
        <v>44088</v>
      </c>
      <c r="I1615" s="137" t="s">
        <v>13</v>
      </c>
      <c r="J1615" s="52">
        <f t="shared" si="152"/>
        <v>4989.0936986301376</v>
      </c>
      <c r="K1615" s="52">
        <f t="shared" si="155"/>
        <v>41650</v>
      </c>
      <c r="L1615" s="53">
        <f t="shared" si="153"/>
        <v>166800</v>
      </c>
      <c r="M1615" s="94">
        <f t="shared" si="154"/>
        <v>46639.093698630139</v>
      </c>
      <c r="N1615" s="25"/>
    </row>
    <row r="1616" spans="1:15" ht="15.95" customHeight="1" x14ac:dyDescent="0.25">
      <c r="A1616" s="121"/>
      <c r="B1616" s="23"/>
      <c r="C1616" s="59" t="s">
        <v>52</v>
      </c>
      <c r="D1616" s="138" t="s">
        <v>18</v>
      </c>
      <c r="E1616" s="36"/>
      <c r="F1616" s="36"/>
      <c r="G1616" s="89"/>
      <c r="H1616" s="51">
        <f>IF(DAY(H1615)=DAY($H$1607),IF(WEEKDAY(EDATE(H1615,$D$1621),3)&lt;5,EDATE(H1615,$D$1621),WORKDAY(EDATE(H1615,$D$1621),1)),IF(WEEKDAY(EDATE($H$1607,$D$1621*COUNT($H$1607:H1615)),3)&lt;5,EDATE($H$1607,$D$1621*COUNT($H$1607:H1615)),WORKDAY(EDATE($H$1607,$D$1621*COUNT($H$1607:H1615)),1)))</f>
        <v>44179</v>
      </c>
      <c r="I1616" s="137" t="s">
        <v>13</v>
      </c>
      <c r="J1616" s="52">
        <f t="shared" si="152"/>
        <v>3992.2323287671234</v>
      </c>
      <c r="K1616" s="52">
        <f>+IF(OR(I1616="A + C",I1616="A"),$D$1620*$D$1625,0)</f>
        <v>41700</v>
      </c>
      <c r="L1616" s="53">
        <f t="shared" si="153"/>
        <v>125100</v>
      </c>
      <c r="M1616" s="94">
        <f t="shared" si="154"/>
        <v>45692.232328767124</v>
      </c>
      <c r="N1616" s="25"/>
      <c r="O1616" s="97">
        <f>+M1763</f>
        <v>-200000</v>
      </c>
    </row>
    <row r="1617" spans="1:15" ht="15.95" customHeight="1" x14ac:dyDescent="0.25">
      <c r="A1617" s="121"/>
      <c r="B1617" s="23"/>
      <c r="C1617" s="59" t="s">
        <v>10</v>
      </c>
      <c r="D1617" s="139">
        <v>43353</v>
      </c>
      <c r="E1617" s="36"/>
      <c r="F1617" s="36"/>
      <c r="G1617" s="89"/>
      <c r="H1617" s="51">
        <f>IF(DAY(H1616)=DAY($H$1607),IF(WEEKDAY(EDATE(H1616,$D$1621),3)&lt;5,EDATE(H1616,$D$1621),WORKDAY(EDATE(H1616,$D$1621),1)),IF(WEEKDAY(EDATE($H$1607,$D$1621*COUNT($H$1607:H1616)),3)&lt;5,EDATE($H$1607,$D$1621*COUNT($H$1607:H1616)),WORKDAY(EDATE($H$1607,$D$1621*COUNT($H$1607:H1616)),1)))</f>
        <v>44270</v>
      </c>
      <c r="I1617" s="137" t="s">
        <v>13</v>
      </c>
      <c r="J1617" s="52">
        <f t="shared" si="152"/>
        <v>2994.1742465753427</v>
      </c>
      <c r="K1617" s="52">
        <f>+IF(OR(I1617="A + C",I1617="A"),$D$1620*$D$1625,0)</f>
        <v>41700</v>
      </c>
      <c r="L1617" s="53">
        <f t="shared" si="153"/>
        <v>83400</v>
      </c>
      <c r="M1617" s="94">
        <f t="shared" si="154"/>
        <v>44694.174246575341</v>
      </c>
      <c r="N1617" s="25"/>
      <c r="O1617" s="97">
        <f t="shared" ref="O1617:O1624" si="156">+M1764+O1616</f>
        <v>-170191.78082191781</v>
      </c>
    </row>
    <row r="1618" spans="1:15" ht="15.95" customHeight="1" x14ac:dyDescent="0.25">
      <c r="A1618" s="121"/>
      <c r="B1618" s="23"/>
      <c r="C1618" s="59" t="s">
        <v>11</v>
      </c>
      <c r="D1618" s="139">
        <v>43356</v>
      </c>
      <c r="E1618" s="41"/>
      <c r="F1618" s="24"/>
      <c r="G1618" s="89"/>
      <c r="H1618" s="51">
        <f>IF(DAY(H1617)=DAY($H$1607),IF(WEEKDAY(EDATE(H1617,$D$1621),3)&lt;5,EDATE(H1617,$D$1621),WORKDAY(EDATE(H1617,$D$1621),1)),IF(WEEKDAY(EDATE($H$1607,$D$1621*COUNT($H$1607:H1617)),3)&lt;5,EDATE($H$1607,$D$1621*COUNT($H$1607:H1617)),WORKDAY(EDATE($H$1607,$D$1621*COUNT($H$1607:H1617)),1)))</f>
        <v>44361</v>
      </c>
      <c r="I1618" s="137" t="s">
        <v>13</v>
      </c>
      <c r="J1618" s="52">
        <f t="shared" si="152"/>
        <v>1996.1161643835617</v>
      </c>
      <c r="K1618" s="52">
        <f>+IF(OR(I1618="A + C",I1618="A"),$D$1620*$D$1625,0)</f>
        <v>41700</v>
      </c>
      <c r="L1618" s="53">
        <f t="shared" si="153"/>
        <v>41700</v>
      </c>
      <c r="M1618" s="94">
        <f t="shared" si="154"/>
        <v>43696.116164383558</v>
      </c>
      <c r="N1618" s="25"/>
      <c r="O1618" s="97">
        <f t="shared" si="156"/>
        <v>-140891.09589041097</v>
      </c>
    </row>
    <row r="1619" spans="1:15" ht="15.95" customHeight="1" x14ac:dyDescent="0.25">
      <c r="A1619" s="121"/>
      <c r="B1619" s="23"/>
      <c r="C1619" s="59" t="s">
        <v>12</v>
      </c>
      <c r="D1619" s="139">
        <v>44452</v>
      </c>
      <c r="E1619" s="36"/>
      <c r="F1619" s="24"/>
      <c r="G1619" s="89"/>
      <c r="H1619" s="51">
        <f>IF(DAY(H1618)=DAY($H$1607),IF(WEEKDAY(EDATE(H1618,$D$1621),3)&lt;5,EDATE(H1618,$D$1621),WORKDAY(EDATE(H1618,$D$1621),1)),IF(WEEKDAY(EDATE($H$1607,$D$1621*COUNT($H$1607:H1618)),3)&lt;5,EDATE($H$1607,$D$1621*COUNT($H$1607:H1618)),WORKDAY(EDATE($H$1607,$D$1621*COUNT($H$1607:H1618)),1)))</f>
        <v>44452</v>
      </c>
      <c r="I1619" s="137" t="s">
        <v>13</v>
      </c>
      <c r="J1619" s="52">
        <f t="shared" si="152"/>
        <v>998.05808219178084</v>
      </c>
      <c r="K1619" s="52">
        <f>+IF(OR(I1619="A + C",I1619="A"),$D$1620*$D$1625,0)</f>
        <v>41700</v>
      </c>
      <c r="L1619" s="53">
        <f t="shared" si="153"/>
        <v>0</v>
      </c>
      <c r="M1619" s="94">
        <f t="shared" si="154"/>
        <v>42698.058082191783</v>
      </c>
      <c r="N1619" s="25"/>
      <c r="O1619" s="97">
        <f t="shared" si="156"/>
        <v>-112124.65753424659</v>
      </c>
    </row>
    <row r="1620" spans="1:15" ht="15.95" customHeight="1" x14ac:dyDescent="0.25">
      <c r="A1620" s="121"/>
      <c r="B1620" s="23"/>
      <c r="C1620" s="59" t="s">
        <v>27</v>
      </c>
      <c r="D1620" s="140">
        <v>500000</v>
      </c>
      <c r="E1620" s="43"/>
      <c r="F1620" s="24"/>
      <c r="G1620" s="89"/>
      <c r="H1620" s="54"/>
      <c r="I1620" s="144"/>
      <c r="J1620" s="55"/>
      <c r="K1620" s="56"/>
      <c r="L1620" s="57"/>
      <c r="M1620" s="94"/>
      <c r="N1620" s="25"/>
      <c r="O1620" s="97">
        <f t="shared" si="156"/>
        <v>-84086.130136986321</v>
      </c>
    </row>
    <row r="1621" spans="1:15" ht="15.95" customHeight="1" x14ac:dyDescent="0.25">
      <c r="A1621" s="121"/>
      <c r="B1621" s="23"/>
      <c r="C1621" s="59" t="s">
        <v>26</v>
      </c>
      <c r="D1621" s="140">
        <v>3</v>
      </c>
      <c r="E1621" s="43"/>
      <c r="F1621" s="24"/>
      <c r="G1621" s="89"/>
      <c r="H1621" s="24"/>
      <c r="I1621" s="24"/>
      <c r="J1621" s="24"/>
      <c r="K1621" s="24"/>
      <c r="L1621" s="24"/>
      <c r="M1621" s="24"/>
      <c r="N1621" s="25"/>
      <c r="O1621" s="97">
        <f t="shared" si="156"/>
        <v>-56655.3082191781</v>
      </c>
    </row>
    <row r="1622" spans="1:15" ht="15.95" customHeight="1" x14ac:dyDescent="0.25">
      <c r="A1622" s="121"/>
      <c r="B1622" s="23"/>
      <c r="C1622" s="59" t="s">
        <v>19</v>
      </c>
      <c r="D1622" s="141" t="s">
        <v>50</v>
      </c>
      <c r="E1622" s="43"/>
      <c r="F1622" s="24"/>
      <c r="G1622" s="89"/>
      <c r="H1622" s="680" t="s">
        <v>43</v>
      </c>
      <c r="I1622" s="680"/>
      <c r="J1622" s="92">
        <v>0</v>
      </c>
      <c r="K1622" s="92"/>
      <c r="L1622" s="24"/>
      <c r="M1622" s="24"/>
      <c r="N1622" s="25"/>
      <c r="O1622" s="97">
        <f t="shared" si="156"/>
        <v>-29832.191780821937</v>
      </c>
    </row>
    <row r="1623" spans="1:15" ht="15.95" customHeight="1" x14ac:dyDescent="0.25">
      <c r="A1623" s="121"/>
      <c r="B1623" s="23"/>
      <c r="C1623" s="59" t="s">
        <v>14</v>
      </c>
      <c r="D1623" s="142">
        <v>9.6000000000000002E-2</v>
      </c>
      <c r="E1623" s="44"/>
      <c r="F1623" s="24"/>
      <c r="G1623" s="89"/>
      <c r="H1623" s="657"/>
      <c r="I1623" s="657"/>
      <c r="J1623" s="392"/>
      <c r="K1623" s="24"/>
      <c r="L1623" s="33"/>
      <c r="M1623" s="33"/>
      <c r="N1623" s="25"/>
      <c r="O1623" s="97">
        <f t="shared" si="156"/>
        <v>-3616.780821917826</v>
      </c>
    </row>
    <row r="1624" spans="1:15" ht="15.95" customHeight="1" x14ac:dyDescent="0.25">
      <c r="A1624" s="121"/>
      <c r="B1624" s="23"/>
      <c r="C1624" s="59" t="s">
        <v>225</v>
      </c>
      <c r="D1624" s="142">
        <v>8.3299999999999999E-2</v>
      </c>
      <c r="E1624" s="24"/>
      <c r="F1624" s="24"/>
      <c r="G1624" s="90"/>
      <c r="H1624" s="24"/>
      <c r="I1624" s="24"/>
      <c r="J1624" s="24"/>
      <c r="K1624" s="24"/>
      <c r="L1624" s="24"/>
      <c r="M1624" s="24"/>
      <c r="N1624" s="25"/>
      <c r="O1624" s="97">
        <f t="shared" si="156"/>
        <v>21990.924657534229</v>
      </c>
    </row>
    <row r="1625" spans="1:15" ht="15.95" customHeight="1" x14ac:dyDescent="0.25">
      <c r="A1625" s="121"/>
      <c r="B1625" s="23"/>
      <c r="C1625" s="59" t="s">
        <v>226</v>
      </c>
      <c r="D1625" s="142">
        <v>8.3400000000000002E-2</v>
      </c>
      <c r="E1625" s="24"/>
      <c r="F1625" s="24"/>
      <c r="G1625" s="90"/>
      <c r="H1625" s="638" t="s">
        <v>44</v>
      </c>
      <c r="I1625" s="639"/>
      <c r="J1625" s="639"/>
      <c r="K1625" s="639"/>
      <c r="L1625" s="639"/>
      <c r="M1625" s="640"/>
      <c r="N1625" s="25"/>
    </row>
    <row r="1626" spans="1:15" ht="15.95" customHeight="1" x14ac:dyDescent="0.25">
      <c r="A1626" s="121"/>
      <c r="B1626" s="23"/>
      <c r="C1626" s="63"/>
      <c r="D1626" s="145"/>
      <c r="E1626" s="24"/>
      <c r="F1626" s="24"/>
      <c r="G1626" s="90"/>
      <c r="H1626" s="23"/>
      <c r="I1626" s="24"/>
      <c r="J1626" s="24"/>
      <c r="K1626" s="24"/>
      <c r="L1626" s="24"/>
      <c r="M1626" s="25"/>
      <c r="N1626" s="25"/>
    </row>
    <row r="1627" spans="1:15" ht="15.95" customHeight="1" x14ac:dyDescent="0.25">
      <c r="A1627" s="121"/>
      <c r="B1627" s="23"/>
      <c r="C1627" s="24"/>
      <c r="D1627" s="24"/>
      <c r="E1627" s="24"/>
      <c r="F1627" s="24"/>
      <c r="G1627" s="90"/>
      <c r="H1627" s="23"/>
      <c r="I1627" s="24"/>
      <c r="J1627" s="24"/>
      <c r="K1627" s="24"/>
      <c r="L1627" s="24"/>
      <c r="M1627" s="25"/>
      <c r="N1627" s="25"/>
    </row>
    <row r="1628" spans="1:15" ht="15.95" customHeight="1" x14ac:dyDescent="0.25">
      <c r="A1628" s="121"/>
      <c r="B1628" s="23"/>
      <c r="C1628" s="24"/>
      <c r="D1628" s="24"/>
      <c r="E1628" s="24"/>
      <c r="F1628" s="24"/>
      <c r="G1628" s="90"/>
      <c r="H1628" s="96"/>
      <c r="I1628" s="35"/>
      <c r="J1628" s="24"/>
      <c r="K1628" s="24"/>
      <c r="L1628" s="24"/>
      <c r="M1628" s="25"/>
      <c r="N1628" s="25"/>
    </row>
    <row r="1629" spans="1:15" ht="15.95" customHeight="1" x14ac:dyDescent="0.25">
      <c r="A1629" s="121"/>
      <c r="B1629" s="23"/>
      <c r="C1629" s="24"/>
      <c r="D1629" s="24"/>
      <c r="E1629" s="24"/>
      <c r="F1629" s="24"/>
      <c r="G1629" s="90"/>
      <c r="H1629" s="23"/>
      <c r="I1629" s="24"/>
      <c r="J1629" s="24"/>
      <c r="K1629" s="24"/>
      <c r="L1629" s="24"/>
      <c r="M1629" s="25"/>
      <c r="N1629" s="25"/>
    </row>
    <row r="1630" spans="1:15" ht="15.95" customHeight="1" x14ac:dyDescent="0.25">
      <c r="A1630" s="121"/>
      <c r="B1630" s="23"/>
      <c r="C1630" s="24"/>
      <c r="D1630" s="24"/>
      <c r="E1630" s="24"/>
      <c r="F1630" s="24"/>
      <c r="G1630" s="90"/>
      <c r="H1630" s="23"/>
      <c r="I1630" s="24"/>
      <c r="J1630" s="24"/>
      <c r="K1630" s="24"/>
      <c r="L1630" s="24"/>
      <c r="M1630" s="25"/>
      <c r="N1630" s="25"/>
    </row>
    <row r="1631" spans="1:15" ht="15.95" customHeight="1" x14ac:dyDescent="0.25">
      <c r="A1631" s="121"/>
      <c r="B1631" s="23"/>
      <c r="C1631" s="24"/>
      <c r="D1631" s="24"/>
      <c r="E1631" s="24"/>
      <c r="F1631" s="24"/>
      <c r="G1631" s="90"/>
      <c r="H1631" s="23"/>
      <c r="I1631" s="24"/>
      <c r="J1631" s="24"/>
      <c r="K1631" s="24"/>
      <c r="L1631" s="24"/>
      <c r="M1631" s="25"/>
      <c r="N1631" s="25"/>
    </row>
    <row r="1632" spans="1:15" ht="15.95" customHeight="1" x14ac:dyDescent="0.25">
      <c r="A1632" s="121"/>
      <c r="B1632" s="23"/>
      <c r="C1632" s="24"/>
      <c r="D1632" s="24"/>
      <c r="E1632" s="24"/>
      <c r="F1632" s="24"/>
      <c r="G1632" s="90"/>
      <c r="H1632" s="23"/>
      <c r="I1632" s="24"/>
      <c r="J1632" s="24"/>
      <c r="K1632" s="24"/>
      <c r="L1632" s="24"/>
      <c r="M1632" s="25"/>
      <c r="N1632" s="25"/>
    </row>
    <row r="1633" spans="1:15" ht="15.95" customHeight="1" x14ac:dyDescent="0.25">
      <c r="A1633" s="121"/>
      <c r="B1633" s="23"/>
      <c r="C1633" s="24"/>
      <c r="D1633" s="24"/>
      <c r="E1633" s="24"/>
      <c r="F1633" s="24"/>
      <c r="G1633" s="90"/>
      <c r="H1633" s="23"/>
      <c r="I1633" s="24"/>
      <c r="J1633" s="24"/>
      <c r="K1633" s="24"/>
      <c r="L1633" s="24"/>
      <c r="M1633" s="25"/>
      <c r="N1633" s="25"/>
    </row>
    <row r="1634" spans="1:15" ht="15.95" customHeight="1" x14ac:dyDescent="0.25">
      <c r="A1634" s="121"/>
      <c r="B1634" s="23"/>
      <c r="C1634" s="24"/>
      <c r="D1634" s="24"/>
      <c r="E1634" s="24"/>
      <c r="F1634" s="24"/>
      <c r="G1634" s="90"/>
      <c r="H1634" s="23"/>
      <c r="I1634" s="24"/>
      <c r="J1634" s="24"/>
      <c r="K1634" s="24"/>
      <c r="L1634" s="24"/>
      <c r="M1634" s="25"/>
      <c r="N1634" s="25"/>
    </row>
    <row r="1635" spans="1:15" ht="15.95" customHeight="1" x14ac:dyDescent="0.25">
      <c r="A1635" s="121"/>
      <c r="B1635" s="23"/>
      <c r="C1635" s="24"/>
      <c r="D1635" s="24"/>
      <c r="E1635" s="24"/>
      <c r="F1635" s="24"/>
      <c r="G1635" s="90"/>
      <c r="H1635" s="23"/>
      <c r="I1635" s="24"/>
      <c r="J1635" s="24"/>
      <c r="K1635" s="24"/>
      <c r="L1635" s="24"/>
      <c r="M1635" s="25"/>
      <c r="N1635" s="25"/>
    </row>
    <row r="1636" spans="1:15" ht="15.95" customHeight="1" x14ac:dyDescent="0.25">
      <c r="A1636" s="121"/>
      <c r="B1636" s="23"/>
      <c r="C1636" s="24"/>
      <c r="D1636" s="24"/>
      <c r="E1636" s="24"/>
      <c r="F1636" s="24"/>
      <c r="G1636" s="90"/>
      <c r="H1636" s="23"/>
      <c r="I1636" s="24"/>
      <c r="J1636" s="24"/>
      <c r="K1636" s="24"/>
      <c r="L1636" s="24"/>
      <c r="M1636" s="25"/>
      <c r="N1636" s="25"/>
    </row>
    <row r="1637" spans="1:15" ht="15.95" customHeight="1" x14ac:dyDescent="0.25">
      <c r="A1637" s="121"/>
      <c r="B1637" s="23"/>
      <c r="C1637" s="24"/>
      <c r="D1637" s="24"/>
      <c r="E1637" s="24"/>
      <c r="F1637" s="24"/>
      <c r="G1637" s="90"/>
      <c r="H1637" s="26"/>
      <c r="I1637" s="27"/>
      <c r="J1637" s="27"/>
      <c r="K1637" s="27"/>
      <c r="L1637" s="27"/>
      <c r="M1637" s="28"/>
      <c r="N1637" s="25"/>
    </row>
    <row r="1638" spans="1:15" ht="15.95" customHeight="1" x14ac:dyDescent="0.25">
      <c r="A1638" s="121"/>
      <c r="B1638" s="26"/>
      <c r="C1638" s="85"/>
      <c r="D1638" s="27"/>
      <c r="E1638" s="27"/>
      <c r="F1638" s="27"/>
      <c r="G1638" s="91"/>
      <c r="H1638" s="27"/>
      <c r="I1638" s="27"/>
      <c r="J1638" s="27"/>
      <c r="K1638" s="27"/>
      <c r="L1638" s="27"/>
      <c r="M1638" s="27"/>
      <c r="N1638" s="28"/>
    </row>
    <row r="1639" spans="1:15" ht="15.95" customHeight="1" x14ac:dyDescent="0.25">
      <c r="A1639" s="121"/>
      <c r="B1639" s="23"/>
      <c r="C1639" s="24"/>
      <c r="D1639" s="24"/>
      <c r="E1639" s="24"/>
      <c r="F1639" s="24"/>
      <c r="G1639" s="24"/>
      <c r="H1639" s="24"/>
      <c r="I1639" s="24"/>
      <c r="J1639" s="24"/>
      <c r="K1639" s="24"/>
      <c r="L1639" s="24"/>
      <c r="M1639" s="24"/>
      <c r="N1639" s="25"/>
    </row>
    <row r="1640" spans="1:15" ht="15.95" customHeight="1" x14ac:dyDescent="0.25">
      <c r="A1640" s="121"/>
      <c r="B1640" s="23"/>
      <c r="C1640" s="24"/>
      <c r="D1640" s="24"/>
      <c r="E1640" s="24"/>
      <c r="F1640" s="24"/>
      <c r="G1640" s="24"/>
      <c r="H1640" s="24"/>
      <c r="I1640" s="24"/>
      <c r="J1640" s="24"/>
      <c r="K1640" s="24"/>
      <c r="L1640" s="24"/>
      <c r="M1640" s="24"/>
      <c r="N1640" s="25"/>
    </row>
    <row r="1641" spans="1:15" ht="15.95" customHeight="1" x14ac:dyDescent="0.25">
      <c r="A1641" s="122" t="s">
        <v>132</v>
      </c>
      <c r="B1641" s="683" t="s">
        <v>209</v>
      </c>
      <c r="C1641" s="684"/>
      <c r="D1641" s="684"/>
      <c r="E1641" s="684"/>
      <c r="F1641" s="684"/>
      <c r="G1641" s="684"/>
      <c r="H1641" s="684"/>
      <c r="I1641" s="684"/>
      <c r="J1641" s="684"/>
      <c r="K1641" s="684"/>
      <c r="L1641" s="684"/>
      <c r="M1641" s="684"/>
      <c r="N1641" s="685"/>
    </row>
    <row r="1642" spans="1:15" ht="15.95" customHeight="1" x14ac:dyDescent="0.25">
      <c r="A1642" s="121"/>
      <c r="B1642" s="23"/>
      <c r="C1642" s="24"/>
      <c r="D1642" s="24"/>
      <c r="E1642" s="24"/>
      <c r="F1642" s="31"/>
      <c r="G1642" s="87"/>
      <c r="H1642" s="31"/>
      <c r="I1642" s="31"/>
      <c r="J1642" s="24"/>
      <c r="K1642" s="24"/>
      <c r="L1642" s="24"/>
      <c r="M1642" s="24"/>
      <c r="N1642" s="25"/>
    </row>
    <row r="1643" spans="1:15" ht="15.95" customHeight="1" x14ac:dyDescent="0.25">
      <c r="A1643" s="121"/>
      <c r="B1643" s="23"/>
      <c r="C1643" s="693" t="s">
        <v>233</v>
      </c>
      <c r="D1643" s="694"/>
      <c r="E1643" s="695"/>
      <c r="F1643" s="31"/>
      <c r="G1643" s="87"/>
      <c r="H1643" s="31"/>
      <c r="I1643" s="31"/>
      <c r="J1643" s="24"/>
      <c r="K1643" s="24"/>
      <c r="L1643" s="24"/>
      <c r="M1643" s="24"/>
      <c r="N1643" s="25"/>
    </row>
    <row r="1644" spans="1:15" ht="15.95" customHeight="1" x14ac:dyDescent="0.25">
      <c r="A1644" s="121"/>
      <c r="B1644" s="23"/>
      <c r="C1644" s="24"/>
      <c r="D1644" s="24"/>
      <c r="E1644" s="24"/>
      <c r="F1644" s="31"/>
      <c r="G1644" s="87"/>
      <c r="H1644" s="31"/>
      <c r="I1644" s="31"/>
      <c r="J1644" s="24"/>
      <c r="K1644" s="24"/>
      <c r="L1644" s="24"/>
      <c r="M1644" s="24"/>
      <c r="N1644" s="25"/>
    </row>
    <row r="1645" spans="1:15" ht="20.100000000000001" customHeight="1" x14ac:dyDescent="0.25">
      <c r="A1645" s="121"/>
      <c r="B1645" s="23"/>
      <c r="C1645" s="638" t="s">
        <v>37</v>
      </c>
      <c r="D1645" s="639"/>
      <c r="E1645" s="640"/>
      <c r="F1645" s="31"/>
      <c r="G1645" s="87"/>
      <c r="H1645" s="641" t="s">
        <v>28</v>
      </c>
      <c r="I1645" s="642"/>
      <c r="J1645" s="39">
        <f>+$D$1665-SUMIF($H$1651:$H$1659,"&lt;"&amp;$M$4,$K$1651:$K$1659)</f>
        <v>0</v>
      </c>
      <c r="K1645" s="24"/>
      <c r="L1645" s="24"/>
      <c r="M1645" s="24"/>
      <c r="N1645" s="25"/>
    </row>
    <row r="1646" spans="1:15" ht="15.95" customHeight="1" x14ac:dyDescent="0.25">
      <c r="A1646" s="121"/>
      <c r="B1646" s="23"/>
      <c r="C1646" s="58"/>
      <c r="D1646" s="664"/>
      <c r="E1646" s="665"/>
      <c r="F1646" s="31"/>
      <c r="G1646" s="87"/>
      <c r="H1646" s="645" t="s">
        <v>29</v>
      </c>
      <c r="I1646" s="646"/>
      <c r="J1646" s="40">
        <f>+$D$1664</f>
        <v>44427</v>
      </c>
      <c r="K1646" s="24"/>
      <c r="L1646" s="24"/>
      <c r="M1646" s="24"/>
      <c r="N1646" s="25"/>
    </row>
    <row r="1647" spans="1:15" ht="15.95" customHeight="1" x14ac:dyDescent="0.25">
      <c r="A1647" s="121"/>
      <c r="B1647" s="23"/>
      <c r="C1647" s="59" t="s">
        <v>25</v>
      </c>
      <c r="D1647" s="681"/>
      <c r="E1647" s="682"/>
      <c r="F1647" s="31"/>
      <c r="G1647" s="87"/>
      <c r="H1647" s="649" t="s">
        <v>30</v>
      </c>
      <c r="I1647" s="650"/>
      <c r="J1647" s="42" t="str">
        <f t="array" ref="J1647">+IF(H1658&gt;=M4,MIN(IF($H$1651:$H$1659&gt;$M$4,$H$1651:$H$1659,"")),"vencida")</f>
        <v>vencida</v>
      </c>
      <c r="K1647" s="24"/>
      <c r="L1647" s="24"/>
      <c r="M1647" s="24"/>
      <c r="N1647" s="25"/>
      <c r="O1647" s="194" t="str">
        <f>+D1798</f>
        <v>ON Pyme CNV Garantizada</v>
      </c>
    </row>
    <row r="1648" spans="1:15" ht="15.95" customHeight="1" x14ac:dyDescent="0.25">
      <c r="A1648" s="121"/>
      <c r="B1648" s="23"/>
      <c r="C1648" s="59" t="s">
        <v>6</v>
      </c>
      <c r="D1648" s="681" t="s">
        <v>228</v>
      </c>
      <c r="E1648" s="682"/>
      <c r="F1648" s="31"/>
      <c r="G1648" s="87"/>
      <c r="H1648" s="24"/>
      <c r="I1648" s="24"/>
      <c r="J1648" s="24"/>
      <c r="K1648" s="24"/>
      <c r="L1648" s="24"/>
      <c r="M1648" s="24"/>
      <c r="N1648" s="25"/>
    </row>
    <row r="1649" spans="1:15" ht="15.95" customHeight="1" x14ac:dyDescent="0.25">
      <c r="A1649" s="121"/>
      <c r="B1649" s="23"/>
      <c r="C1649" s="59" t="s">
        <v>8</v>
      </c>
      <c r="D1649" s="681" t="s">
        <v>229</v>
      </c>
      <c r="E1649" s="682"/>
      <c r="F1649" s="31"/>
      <c r="G1649" s="87"/>
      <c r="H1649" s="651" t="s">
        <v>41</v>
      </c>
      <c r="I1649" s="652"/>
      <c r="J1649" s="652"/>
      <c r="K1649" s="652"/>
      <c r="L1649" s="653"/>
      <c r="M1649" s="24"/>
      <c r="N1649" s="25"/>
      <c r="O1649" s="194" t="str">
        <f>+IF(J1796="vencida",IF(D1798='Reporte - Oscuro'!$C$40,'Reporte - Oscuro'!$C$40&amp;" vencida",IF(D1798='Reporte - Oscuro'!$C$41,'Reporte - Oscuro'!$C$41&amp;" vencida",IF(D1798='Reporte - Oscuro'!$C$42,'Reporte - Oscuro'!$C$42&amp;" vencida",'Reporte - Oscuro'!$C$43&amp;" vencida"))),D1798&amp;" vigente")</f>
        <v>ON Pyme CNV Garantizada vencida</v>
      </c>
    </row>
    <row r="1650" spans="1:15" ht="15.95" customHeight="1" x14ac:dyDescent="0.25">
      <c r="A1650" s="121"/>
      <c r="B1650" s="23"/>
      <c r="C1650" s="59" t="s">
        <v>33</v>
      </c>
      <c r="D1650" s="681" t="s">
        <v>62</v>
      </c>
      <c r="E1650" s="682"/>
      <c r="F1650" s="31"/>
      <c r="G1650" s="87"/>
      <c r="H1650" s="126" t="s">
        <v>0</v>
      </c>
      <c r="I1650" s="127" t="s">
        <v>2</v>
      </c>
      <c r="J1650" s="127" t="s">
        <v>3</v>
      </c>
      <c r="K1650" s="127" t="s">
        <v>4</v>
      </c>
      <c r="L1650" s="128" t="s">
        <v>5</v>
      </c>
      <c r="M1650" s="127" t="s">
        <v>44</v>
      </c>
      <c r="N1650" s="25"/>
    </row>
    <row r="1651" spans="1:15" ht="15.95" customHeight="1" x14ac:dyDescent="0.25">
      <c r="A1651" s="121"/>
      <c r="B1651" s="23"/>
      <c r="C1651" s="59" t="s">
        <v>34</v>
      </c>
      <c r="D1651" s="681" t="s">
        <v>230</v>
      </c>
      <c r="E1651" s="682"/>
      <c r="F1651" s="31"/>
      <c r="G1651" s="87"/>
      <c r="H1651" s="45"/>
      <c r="I1651" s="46"/>
      <c r="J1651" s="46"/>
      <c r="K1651" s="46"/>
      <c r="L1651" s="47"/>
      <c r="M1651" s="23"/>
      <c r="N1651" s="25"/>
    </row>
    <row r="1652" spans="1:15" ht="15.95" customHeight="1" x14ac:dyDescent="0.25">
      <c r="A1652" s="121"/>
      <c r="B1652" s="23"/>
      <c r="C1652" s="79" t="s">
        <v>38</v>
      </c>
      <c r="D1652" s="130"/>
      <c r="E1652" s="131"/>
      <c r="F1652" s="31"/>
      <c r="G1652" s="87"/>
      <c r="H1652" s="48">
        <f>+$D$1663</f>
        <v>43880</v>
      </c>
      <c r="I1652" s="136"/>
      <c r="J1652" s="49"/>
      <c r="K1652" s="49"/>
      <c r="L1652" s="50">
        <f>+D1665</f>
        <v>3338830</v>
      </c>
      <c r="M1652" s="93">
        <f>-L1652</f>
        <v>-3338830</v>
      </c>
      <c r="N1652" s="25"/>
    </row>
    <row r="1653" spans="1:15" ht="15.95" customHeight="1" x14ac:dyDescent="0.25">
      <c r="A1653" s="121"/>
      <c r="B1653" s="23"/>
      <c r="C1653" s="59"/>
      <c r="D1653" s="132"/>
      <c r="E1653" s="133"/>
      <c r="F1653" s="31"/>
      <c r="G1653" s="87"/>
      <c r="H1653" s="51">
        <f>IF(DAY(H1652)=DAY($H$1652),IF(WEEKDAY(EDATE(H1652,$D$1666),3)&lt;5,EDATE(H1652,$D$1666),WORKDAY(EDATE(H1652,$D$1666),1)),IF(WEEKDAY(EDATE($H$1652,$D$1666*COUNT($H$1652:H1652)),3)&lt;5,EDATE($H$1652,$D$1666*COUNT($H$1652:H1652)),WORKDAY(EDATE($H$1652,$D$1666*COUNT($H$1652:H1652)),1)))</f>
        <v>43970</v>
      </c>
      <c r="I1653" s="137" t="s">
        <v>7</v>
      </c>
      <c r="J1653" s="52">
        <f t="shared" ref="J1653:J1658" si="157">+(($D$1668/365)*(H1653-H1652))*L1652</f>
        <v>86443.680821917806</v>
      </c>
      <c r="K1653" s="52">
        <f>+IF(OR(I1653="A + C",I1653="A"),$L$1652*$D$1669,0)</f>
        <v>0</v>
      </c>
      <c r="L1653" s="53">
        <f t="shared" ref="L1653:L1658" si="158">+L1652-K1653</f>
        <v>3338830</v>
      </c>
      <c r="M1653" s="94">
        <f t="shared" ref="M1653:M1658" si="159">+J1653+K1653</f>
        <v>86443.680821917806</v>
      </c>
      <c r="N1653" s="25"/>
    </row>
    <row r="1654" spans="1:15" ht="15.95" customHeight="1" x14ac:dyDescent="0.25">
      <c r="A1654" s="121"/>
      <c r="B1654" s="23"/>
      <c r="C1654" s="60"/>
      <c r="D1654" s="134"/>
      <c r="E1654" s="135"/>
      <c r="F1654" s="34"/>
      <c r="G1654" s="88"/>
      <c r="H1654" s="51">
        <f>IF(DAY(H1653)=DAY($H$1652),IF(WEEKDAY(EDATE(H1653,$D$1666),3)&lt;5,EDATE(H1653,$D$1666),WORKDAY(EDATE(H1653,$D$1666),1)),IF(WEEKDAY(EDATE($H$1652,$D$1666*COUNT($H$1652:H1653)),3)&lt;5,EDATE($H$1652,$D$1666*COUNT($H$1652:H1653)),WORKDAY(EDATE($H$1652,$D$1666*COUNT($H$1652:H1653)),1)))</f>
        <v>44062</v>
      </c>
      <c r="I1654" s="137" t="s">
        <v>7</v>
      </c>
      <c r="J1654" s="52">
        <f t="shared" si="157"/>
        <v>88364.651506849317</v>
      </c>
      <c r="K1654" s="52">
        <f>+IF(OR(I1654="A + C",I1654="A"),$D$1665*$D$1669,0)</f>
        <v>0</v>
      </c>
      <c r="L1654" s="53">
        <f t="shared" si="158"/>
        <v>3338830</v>
      </c>
      <c r="M1654" s="94">
        <f t="shared" si="159"/>
        <v>88364.651506849317</v>
      </c>
      <c r="N1654" s="25"/>
      <c r="O1654" s="97">
        <f>+M1801</f>
        <v>-800000</v>
      </c>
    </row>
    <row r="1655" spans="1:15" ht="15.95" customHeight="1" x14ac:dyDescent="0.25">
      <c r="A1655" s="121"/>
      <c r="B1655" s="23"/>
      <c r="C1655" s="60"/>
      <c r="D1655" s="55" t="str">
        <f>B1641</f>
        <v>Rizobacter II</v>
      </c>
      <c r="E1655" s="64"/>
      <c r="F1655" s="34"/>
      <c r="G1655" s="88">
        <f>J1645</f>
        <v>0</v>
      </c>
      <c r="H1655" s="51">
        <f>IF(DAY(H1654)=DAY($H$1652),IF(WEEKDAY(EDATE(H1654,$D$1666),3)&lt;5,EDATE(H1654,$D$1666),WORKDAY(EDATE(H1654,$D$1666),1)),IF(WEEKDAY(EDATE($H$1652,$D$1666*COUNT($H$1652:H1654)),3)&lt;5,EDATE($H$1652,$D$1666*COUNT($H$1652:H1654)),WORKDAY(EDATE($H$1652,$D$1666*COUNT($H$1652:H1654)),1)))</f>
        <v>44154</v>
      </c>
      <c r="I1655" s="137" t="s">
        <v>7</v>
      </c>
      <c r="J1655" s="52">
        <f t="shared" si="157"/>
        <v>88364.651506849317</v>
      </c>
      <c r="K1655" s="52">
        <f>+IF(OR(I1655="A + C",I1655="A"),$D$1665*$D$1669,0)</f>
        <v>0</v>
      </c>
      <c r="L1655" s="53">
        <f t="shared" si="158"/>
        <v>3338830</v>
      </c>
      <c r="M1655" s="94">
        <f t="shared" si="159"/>
        <v>88364.651506849317</v>
      </c>
      <c r="N1655" s="25"/>
      <c r="O1655" s="97">
        <f t="shared" ref="O1655:O1660" si="160">+M1802+O1654</f>
        <v>-765534.24657534249</v>
      </c>
    </row>
    <row r="1656" spans="1:15" ht="15.95" customHeight="1" x14ac:dyDescent="0.25">
      <c r="A1656" s="121"/>
      <c r="B1656" s="32"/>
      <c r="D1656" s="644"/>
      <c r="E1656" s="660"/>
      <c r="F1656" s="34"/>
      <c r="G1656" s="88"/>
      <c r="H1656" s="51">
        <f>IF(DAY(H1655)=DAY($H$1652),IF(WEEKDAY(EDATE(H1655,$D$1666),3)&lt;5,EDATE(H1655,$D$1666),WORKDAY(EDATE(H1655,$D$1666),1)),IF(WEEKDAY(EDATE($H$1652,$D$1666*COUNT($H$1652:H1655)),3)&lt;5,EDATE($H$1652,$D$1666*COUNT($H$1652:H1655)),WORKDAY(EDATE($H$1652,$D$1666*COUNT($H$1652:H1655)),1)))</f>
        <v>44246</v>
      </c>
      <c r="I1656" s="137" t="s">
        <v>7</v>
      </c>
      <c r="J1656" s="52">
        <f t="shared" si="157"/>
        <v>88364.651506849317</v>
      </c>
      <c r="K1656" s="52">
        <f>+IF(OR(I1656="A + C",I1656="A"),$D$1665*$D$1669,0)</f>
        <v>0</v>
      </c>
      <c r="L1656" s="53">
        <f t="shared" si="158"/>
        <v>3338830</v>
      </c>
      <c r="M1656" s="94">
        <f t="shared" si="159"/>
        <v>88364.651506849317</v>
      </c>
      <c r="N1656" s="25"/>
      <c r="O1656" s="97">
        <f t="shared" si="160"/>
        <v>-571627.39726027404</v>
      </c>
    </row>
    <row r="1657" spans="1:15" ht="15.95" customHeight="1" x14ac:dyDescent="0.25">
      <c r="A1657" s="121"/>
      <c r="B1657" s="23"/>
      <c r="C1657" s="638" t="s">
        <v>36</v>
      </c>
      <c r="D1657" s="640"/>
      <c r="E1657" s="36"/>
      <c r="F1657" s="34"/>
      <c r="G1657" s="88"/>
      <c r="H1657" s="51">
        <f>IF(DAY(H1656)=DAY($H$1652),IF(WEEKDAY(EDATE(H1656,$D$1666),3)&lt;5,EDATE(H1656,$D$1666),WORKDAY(EDATE(H1656,$D$1666),1)),IF(WEEKDAY(EDATE($H$1652,$D$1666*COUNT($H$1652:H1656)),3)&lt;5,EDATE($H$1652,$D$1666*COUNT($H$1652:H1656)),WORKDAY(EDATE($H$1652,$D$1666*COUNT($H$1652:H1656)),1)))</f>
        <v>44335</v>
      </c>
      <c r="I1657" s="137" t="s">
        <v>7</v>
      </c>
      <c r="J1657" s="52">
        <f t="shared" si="157"/>
        <v>85483.195479452042</v>
      </c>
      <c r="K1657" s="52">
        <f>+IF(OR(I1657="A + C",I1657="A"),$D$1665*$D$1669,0)</f>
        <v>0</v>
      </c>
      <c r="L1657" s="53">
        <f t="shared" si="158"/>
        <v>3338830</v>
      </c>
      <c r="M1657" s="94">
        <f t="shared" si="159"/>
        <v>85483.195479452042</v>
      </c>
      <c r="N1657" s="25"/>
      <c r="O1657" s="97">
        <f t="shared" si="160"/>
        <v>-384501.91780821921</v>
      </c>
    </row>
    <row r="1658" spans="1:15" ht="15.95" customHeight="1" x14ac:dyDescent="0.25">
      <c r="A1658" s="121"/>
      <c r="B1658" s="23"/>
      <c r="C1658" s="59"/>
      <c r="D1658" s="62"/>
      <c r="E1658" s="36"/>
      <c r="F1658" s="36"/>
      <c r="G1658" s="89"/>
      <c r="H1658" s="51">
        <f>IF(DAY(H1657)=DAY($H$1652),IF(WEEKDAY(EDATE(H1657,$D$1666),3)&lt;5,EDATE(H1657,$D$1666),WORKDAY(EDATE(H1657,$D$1666),1)),IF(WEEKDAY(EDATE($H$1652,$D$1666*COUNT($H$1652:H1657)),3)&lt;5,EDATE($H$1652,$D$1666*COUNT($H$1652:H1657)),WORKDAY(EDATE($H$1652,$D$1666*COUNT($H$1652:H1657)),1)))</f>
        <v>44427</v>
      </c>
      <c r="I1658" s="137" t="s">
        <v>13</v>
      </c>
      <c r="J1658" s="52">
        <f t="shared" si="157"/>
        <v>88364.651506849317</v>
      </c>
      <c r="K1658" s="52">
        <f>+IF(OR(I1658="A + C",I1658="A"),$D$1665*$D$1669,0)</f>
        <v>3338830</v>
      </c>
      <c r="L1658" s="53">
        <f t="shared" si="158"/>
        <v>0</v>
      </c>
      <c r="M1658" s="94">
        <f t="shared" si="159"/>
        <v>3427194.6515068491</v>
      </c>
      <c r="N1658" s="25"/>
      <c r="O1658" s="97">
        <f t="shared" si="160"/>
        <v>-204157.80821917811</v>
      </c>
    </row>
    <row r="1659" spans="1:15" ht="15.95" customHeight="1" x14ac:dyDescent="0.25">
      <c r="A1659" s="121"/>
      <c r="B1659" s="23"/>
      <c r="C1659" s="59" t="s">
        <v>9</v>
      </c>
      <c r="D1659" s="129" t="s">
        <v>49</v>
      </c>
      <c r="E1659" s="36"/>
      <c r="F1659" s="36"/>
      <c r="G1659" s="89"/>
      <c r="H1659" s="54"/>
      <c r="I1659" s="144"/>
      <c r="J1659" s="55"/>
      <c r="K1659" s="56"/>
      <c r="L1659" s="57"/>
      <c r="M1659" s="95"/>
      <c r="N1659" s="25"/>
      <c r="O1659" s="97">
        <f t="shared" si="160"/>
        <v>-30520.547945205501</v>
      </c>
    </row>
    <row r="1660" spans="1:15" ht="15.95" customHeight="1" x14ac:dyDescent="0.25">
      <c r="A1660" s="121"/>
      <c r="B1660" s="23"/>
      <c r="C1660" s="59" t="s">
        <v>51</v>
      </c>
      <c r="D1660" s="138" t="s">
        <v>18</v>
      </c>
      <c r="E1660" s="36"/>
      <c r="F1660" s="36"/>
      <c r="G1660" s="89"/>
      <c r="H1660" s="24"/>
      <c r="I1660" s="24"/>
      <c r="J1660" s="24"/>
      <c r="K1660" s="24"/>
      <c r="L1660" s="24"/>
      <c r="M1660" s="24"/>
      <c r="N1660" s="25"/>
      <c r="O1660" s="97">
        <f t="shared" si="160"/>
        <v>136260.82191780821</v>
      </c>
    </row>
    <row r="1661" spans="1:15" ht="15.95" customHeight="1" x14ac:dyDescent="0.25">
      <c r="A1661" s="121"/>
      <c r="B1661" s="23"/>
      <c r="C1661" s="59" t="s">
        <v>52</v>
      </c>
      <c r="D1661" s="138" t="s">
        <v>18</v>
      </c>
      <c r="E1661" s="36"/>
      <c r="F1661" s="36"/>
      <c r="G1661" s="89"/>
      <c r="H1661" s="680" t="s">
        <v>43</v>
      </c>
      <c r="I1661" s="680"/>
      <c r="J1661" s="92">
        <v>0</v>
      </c>
      <c r="K1661" s="92"/>
      <c r="L1661" s="24"/>
      <c r="M1661" s="24"/>
      <c r="N1661" s="25"/>
    </row>
    <row r="1662" spans="1:15" ht="15.95" customHeight="1" x14ac:dyDescent="0.25">
      <c r="A1662" s="121"/>
      <c r="B1662" s="23"/>
      <c r="C1662" s="59" t="s">
        <v>10</v>
      </c>
      <c r="D1662" s="139">
        <v>43875</v>
      </c>
      <c r="E1662" s="36"/>
      <c r="F1662" s="36"/>
      <c r="G1662" s="89"/>
      <c r="H1662" s="24"/>
      <c r="I1662" s="24"/>
      <c r="J1662" s="24"/>
      <c r="K1662" s="24"/>
      <c r="L1662" s="33"/>
      <c r="M1662" s="33"/>
      <c r="N1662" s="25"/>
    </row>
    <row r="1663" spans="1:15" ht="15.95" customHeight="1" x14ac:dyDescent="0.25">
      <c r="A1663" s="121"/>
      <c r="B1663" s="23"/>
      <c r="C1663" s="59" t="s">
        <v>11</v>
      </c>
      <c r="D1663" s="139">
        <v>43880</v>
      </c>
      <c r="E1663" s="41"/>
      <c r="F1663" s="24"/>
      <c r="G1663" s="90"/>
      <c r="H1663" s="24"/>
      <c r="I1663" s="24"/>
      <c r="J1663" s="24"/>
      <c r="K1663" s="24"/>
      <c r="L1663" s="24"/>
      <c r="M1663" s="24"/>
      <c r="N1663" s="25"/>
    </row>
    <row r="1664" spans="1:15" ht="15.95" customHeight="1" x14ac:dyDescent="0.25">
      <c r="A1664" s="121"/>
      <c r="B1664" s="23"/>
      <c r="C1664" s="59" t="s">
        <v>12</v>
      </c>
      <c r="D1664" s="139">
        <v>44427</v>
      </c>
      <c r="E1664" s="36"/>
      <c r="F1664" s="24"/>
      <c r="G1664" s="90"/>
      <c r="H1664" s="638" t="s">
        <v>44</v>
      </c>
      <c r="I1664" s="639"/>
      <c r="J1664" s="639"/>
      <c r="K1664" s="639"/>
      <c r="L1664" s="639"/>
      <c r="M1664" s="640"/>
      <c r="N1664" s="25"/>
    </row>
    <row r="1665" spans="1:14" ht="15.95" customHeight="1" x14ac:dyDescent="0.25">
      <c r="A1665" s="121"/>
      <c r="B1665" s="23"/>
      <c r="C1665" s="59" t="s">
        <v>27</v>
      </c>
      <c r="D1665" s="140">
        <v>3338830</v>
      </c>
      <c r="E1665" s="43"/>
      <c r="F1665" s="24"/>
      <c r="G1665" s="90"/>
      <c r="H1665" s="23"/>
      <c r="I1665" s="24"/>
      <c r="J1665" s="24"/>
      <c r="K1665" s="24"/>
      <c r="L1665" s="24"/>
      <c r="M1665" s="25"/>
      <c r="N1665" s="25"/>
    </row>
    <row r="1666" spans="1:14" ht="15.95" customHeight="1" x14ac:dyDescent="0.25">
      <c r="A1666" s="121"/>
      <c r="B1666" s="23"/>
      <c r="C1666" s="59" t="s">
        <v>26</v>
      </c>
      <c r="D1666" s="140">
        <v>3</v>
      </c>
      <c r="E1666" s="43"/>
      <c r="F1666" s="24"/>
      <c r="G1666" s="90"/>
      <c r="H1666" s="23"/>
      <c r="I1666" s="24"/>
      <c r="J1666" s="24"/>
      <c r="K1666" s="24"/>
      <c r="L1666" s="24"/>
      <c r="M1666" s="25"/>
      <c r="N1666" s="25"/>
    </row>
    <row r="1667" spans="1:14" ht="15.95" customHeight="1" x14ac:dyDescent="0.25">
      <c r="A1667" s="121"/>
      <c r="B1667" s="23"/>
      <c r="C1667" s="59" t="s">
        <v>19</v>
      </c>
      <c r="D1667" s="141" t="s">
        <v>50</v>
      </c>
      <c r="E1667" s="43"/>
      <c r="F1667" s="24"/>
      <c r="G1667" s="90"/>
      <c r="H1667" s="96"/>
      <c r="I1667" s="35"/>
      <c r="J1667" s="24"/>
      <c r="K1667" s="24"/>
      <c r="L1667" s="24"/>
      <c r="M1667" s="25"/>
      <c r="N1667" s="25"/>
    </row>
    <row r="1668" spans="1:14" ht="15.95" customHeight="1" x14ac:dyDescent="0.25">
      <c r="A1668" s="121"/>
      <c r="B1668" s="23"/>
      <c r="C1668" s="59" t="s">
        <v>14</v>
      </c>
      <c r="D1668" s="142">
        <v>0.105</v>
      </c>
      <c r="E1668" s="44"/>
      <c r="F1668" s="24"/>
      <c r="G1668" s="90"/>
      <c r="H1668" s="23"/>
      <c r="I1668" s="24"/>
      <c r="J1668" s="24"/>
      <c r="K1668" s="24"/>
      <c r="L1668" s="24"/>
      <c r="M1668" s="25"/>
      <c r="N1668" s="25"/>
    </row>
    <row r="1669" spans="1:14" ht="15.95" customHeight="1" x14ac:dyDescent="0.25">
      <c r="A1669" s="121"/>
      <c r="B1669" s="23"/>
      <c r="C1669" s="59" t="s">
        <v>55</v>
      </c>
      <c r="D1669" s="142">
        <v>1</v>
      </c>
      <c r="E1669" s="24"/>
      <c r="F1669" s="24"/>
      <c r="G1669" s="90"/>
      <c r="H1669" s="23"/>
      <c r="I1669" s="24"/>
      <c r="J1669" s="24"/>
      <c r="K1669" s="24"/>
      <c r="L1669" s="24"/>
      <c r="M1669" s="25"/>
      <c r="N1669" s="25"/>
    </row>
    <row r="1670" spans="1:14" ht="15.95" customHeight="1" x14ac:dyDescent="0.25">
      <c r="A1670" s="121"/>
      <c r="B1670" s="23"/>
      <c r="C1670" s="63"/>
      <c r="D1670" s="145"/>
      <c r="E1670" s="24"/>
      <c r="F1670" s="24"/>
      <c r="G1670" s="90"/>
      <c r="H1670" s="23"/>
      <c r="I1670" s="24"/>
      <c r="J1670" s="24"/>
      <c r="K1670" s="24"/>
      <c r="L1670" s="24"/>
      <c r="M1670" s="25"/>
      <c r="N1670" s="25"/>
    </row>
    <row r="1671" spans="1:14" ht="15.95" customHeight="1" x14ac:dyDescent="0.25">
      <c r="A1671" s="121"/>
      <c r="B1671" s="23"/>
      <c r="C1671" s="24"/>
      <c r="D1671" s="24"/>
      <c r="E1671" s="24"/>
      <c r="F1671" s="24"/>
      <c r="G1671" s="90"/>
      <c r="H1671" s="23"/>
      <c r="I1671" s="24"/>
      <c r="J1671" s="24"/>
      <c r="K1671" s="24"/>
      <c r="L1671" s="24"/>
      <c r="M1671" s="25"/>
      <c r="N1671" s="25"/>
    </row>
    <row r="1672" spans="1:14" ht="15.95" customHeight="1" x14ac:dyDescent="0.25">
      <c r="A1672" s="121"/>
      <c r="B1672" s="23"/>
      <c r="C1672" s="24"/>
      <c r="D1672" s="24"/>
      <c r="E1672" s="24"/>
      <c r="F1672" s="24"/>
      <c r="G1672" s="90"/>
      <c r="H1672" s="23"/>
      <c r="I1672" s="24"/>
      <c r="J1672" s="24"/>
      <c r="K1672" s="24"/>
      <c r="L1672" s="24"/>
      <c r="M1672" s="25"/>
      <c r="N1672" s="25"/>
    </row>
    <row r="1673" spans="1:14" ht="15.95" customHeight="1" x14ac:dyDescent="0.25">
      <c r="A1673" s="121"/>
      <c r="B1673" s="23"/>
      <c r="C1673" s="24"/>
      <c r="D1673" s="24"/>
      <c r="E1673" s="24"/>
      <c r="F1673" s="24"/>
      <c r="G1673" s="90"/>
      <c r="H1673" s="23"/>
      <c r="I1673" s="24"/>
      <c r="J1673" s="24"/>
      <c r="K1673" s="24"/>
      <c r="L1673" s="24"/>
      <c r="M1673" s="25"/>
      <c r="N1673" s="25"/>
    </row>
    <row r="1674" spans="1:14" ht="15.95" customHeight="1" x14ac:dyDescent="0.25">
      <c r="A1674" s="121"/>
      <c r="B1674" s="23"/>
      <c r="C1674" s="24"/>
      <c r="D1674" s="24"/>
      <c r="E1674" s="24"/>
      <c r="F1674" s="24"/>
      <c r="G1674" s="90"/>
      <c r="H1674" s="23"/>
      <c r="I1674" s="24"/>
      <c r="J1674" s="24"/>
      <c r="K1674" s="24"/>
      <c r="L1674" s="24"/>
      <c r="M1674" s="25"/>
      <c r="N1674" s="25"/>
    </row>
    <row r="1675" spans="1:14" ht="15.95" customHeight="1" x14ac:dyDescent="0.25">
      <c r="A1675" s="121"/>
      <c r="B1675" s="23"/>
      <c r="C1675" s="24"/>
      <c r="D1675" s="24"/>
      <c r="E1675" s="24"/>
      <c r="F1675" s="24"/>
      <c r="G1675" s="90"/>
      <c r="H1675" s="23"/>
      <c r="I1675" s="24"/>
      <c r="J1675" s="24"/>
      <c r="K1675" s="24"/>
      <c r="L1675" s="24"/>
      <c r="M1675" s="25"/>
      <c r="N1675" s="25"/>
    </row>
    <row r="1676" spans="1:14" ht="15.95" customHeight="1" x14ac:dyDescent="0.25">
      <c r="A1676" s="121"/>
      <c r="B1676" s="23"/>
      <c r="C1676" s="24"/>
      <c r="D1676" s="24"/>
      <c r="E1676" s="24"/>
      <c r="F1676" s="24"/>
      <c r="G1676" s="90"/>
      <c r="H1676" s="26"/>
      <c r="I1676" s="27"/>
      <c r="J1676" s="27"/>
      <c r="K1676" s="27"/>
      <c r="L1676" s="27"/>
      <c r="M1676" s="28"/>
      <c r="N1676" s="25"/>
    </row>
    <row r="1677" spans="1:14" ht="15.95" customHeight="1" x14ac:dyDescent="0.25">
      <c r="A1677" s="121"/>
      <c r="B1677" s="152"/>
      <c r="C1677" s="153"/>
      <c r="D1677" s="153"/>
      <c r="E1677" s="153"/>
      <c r="F1677" s="153"/>
      <c r="G1677" s="154"/>
      <c r="H1677" s="153"/>
      <c r="I1677" s="153"/>
      <c r="J1677" s="153"/>
      <c r="K1677" s="153"/>
      <c r="L1677" s="153"/>
      <c r="M1677" s="153"/>
      <c r="N1677" s="155"/>
    </row>
    <row r="1678" spans="1:14" ht="15.95" customHeight="1" x14ac:dyDescent="0.25">
      <c r="A1678" s="121"/>
      <c r="B1678" s="699" t="s">
        <v>209</v>
      </c>
      <c r="C1678" s="700"/>
      <c r="D1678" s="700"/>
      <c r="E1678" s="700"/>
      <c r="F1678" s="700"/>
      <c r="G1678" s="700"/>
      <c r="H1678" s="700"/>
      <c r="I1678" s="700"/>
      <c r="J1678" s="700"/>
      <c r="K1678" s="700"/>
      <c r="L1678" s="700"/>
      <c r="M1678" s="700"/>
      <c r="N1678" s="701"/>
    </row>
    <row r="1679" spans="1:14" ht="15.95" customHeight="1" x14ac:dyDescent="0.25">
      <c r="A1679" s="121"/>
      <c r="B1679" s="23"/>
      <c r="C1679" s="24"/>
      <c r="D1679" s="24"/>
      <c r="E1679" s="24"/>
      <c r="F1679" s="24"/>
      <c r="G1679" s="90"/>
      <c r="H1679" s="24"/>
      <c r="I1679" s="24"/>
      <c r="J1679" s="24"/>
      <c r="K1679" s="24"/>
      <c r="L1679" s="24"/>
      <c r="M1679" s="24"/>
      <c r="N1679" s="25"/>
    </row>
    <row r="1680" spans="1:14" ht="15.95" customHeight="1" x14ac:dyDescent="0.25">
      <c r="A1680" s="121"/>
      <c r="B1680" s="23"/>
      <c r="C1680" s="693" t="s">
        <v>234</v>
      </c>
      <c r="D1680" s="694"/>
      <c r="E1680" s="695"/>
      <c r="F1680" s="24"/>
      <c r="G1680" s="90"/>
      <c r="H1680" s="24"/>
      <c r="I1680" s="24"/>
      <c r="J1680" s="24"/>
      <c r="K1680" s="24"/>
      <c r="L1680" s="24"/>
      <c r="M1680" s="24"/>
      <c r="N1680" s="25"/>
    </row>
    <row r="1681" spans="1:14" ht="20.100000000000001" customHeight="1" x14ac:dyDescent="0.25">
      <c r="A1681" s="121"/>
      <c r="B1681" s="23"/>
      <c r="C1681" s="24"/>
      <c r="D1681" s="24"/>
      <c r="E1681" s="24"/>
      <c r="F1681" s="24"/>
      <c r="G1681" s="90"/>
      <c r="H1681" s="24"/>
      <c r="I1681" s="24"/>
      <c r="J1681" s="24"/>
      <c r="K1681" s="24"/>
      <c r="L1681" s="24"/>
      <c r="M1681" s="24"/>
      <c r="N1681" s="25"/>
    </row>
    <row r="1682" spans="1:14" ht="15.95" customHeight="1" x14ac:dyDescent="0.25">
      <c r="A1682" s="121"/>
      <c r="B1682" s="23"/>
      <c r="C1682" s="638" t="s">
        <v>37</v>
      </c>
      <c r="D1682" s="639"/>
      <c r="E1682" s="640"/>
      <c r="F1682" s="31"/>
      <c r="G1682" s="87"/>
      <c r="H1682" s="641" t="s">
        <v>28</v>
      </c>
      <c r="I1682" s="642"/>
      <c r="J1682" s="39">
        <f>+$D$1702-SUMIF($H$1688:$H$1694,"&lt;"&amp;$M$4,$K$1688:$K$1694)</f>
        <v>0</v>
      </c>
      <c r="K1682" s="24"/>
      <c r="L1682" s="24"/>
      <c r="M1682" s="24"/>
      <c r="N1682" s="25"/>
    </row>
    <row r="1683" spans="1:14" ht="20.100000000000001" customHeight="1" x14ac:dyDescent="0.25">
      <c r="A1683" s="121"/>
      <c r="B1683" s="23"/>
      <c r="C1683" s="58"/>
      <c r="D1683" s="664"/>
      <c r="E1683" s="665"/>
      <c r="F1683" s="31"/>
      <c r="G1683" s="87"/>
      <c r="H1683" s="645" t="s">
        <v>29</v>
      </c>
      <c r="I1683" s="646"/>
      <c r="J1683" s="40">
        <f>+$D$1701</f>
        <v>44246</v>
      </c>
      <c r="K1683" s="24"/>
      <c r="L1683" s="24"/>
      <c r="M1683" s="24"/>
      <c r="N1683" s="25"/>
    </row>
    <row r="1684" spans="1:14" ht="15.95" customHeight="1" x14ac:dyDescent="0.25">
      <c r="A1684" s="121"/>
      <c r="B1684" s="23"/>
      <c r="C1684" s="59" t="s">
        <v>25</v>
      </c>
      <c r="D1684" s="681"/>
      <c r="E1684" s="682"/>
      <c r="F1684" s="31"/>
      <c r="G1684" s="87"/>
      <c r="H1684" s="649" t="s">
        <v>30</v>
      </c>
      <c r="I1684" s="650"/>
      <c r="J1684" s="42" t="str">
        <f t="array" ref="J1684">+IF(H1693&gt;=M4,MIN(IF($H$1688:$H$1694&gt;$M$4,$H$1688:$H$1694,"")),"vencida")</f>
        <v>vencida</v>
      </c>
      <c r="K1684" s="24"/>
      <c r="L1684" s="24"/>
      <c r="M1684" s="24"/>
      <c r="N1684" s="25"/>
    </row>
    <row r="1685" spans="1:14" ht="20.100000000000001" customHeight="1" x14ac:dyDescent="0.25">
      <c r="A1685" s="121"/>
      <c r="B1685" s="23"/>
      <c r="C1685" s="59" t="s">
        <v>6</v>
      </c>
      <c r="D1685" s="681" t="s">
        <v>228</v>
      </c>
      <c r="E1685" s="682"/>
      <c r="F1685" s="31"/>
      <c r="G1685" s="87"/>
      <c r="H1685" s="24"/>
      <c r="I1685" s="24"/>
      <c r="J1685" s="24"/>
      <c r="K1685" s="24"/>
      <c r="L1685" s="24"/>
      <c r="M1685" s="24"/>
      <c r="N1685" s="25"/>
    </row>
    <row r="1686" spans="1:14" ht="15.95" customHeight="1" x14ac:dyDescent="0.25">
      <c r="A1686" s="121"/>
      <c r="B1686" s="23"/>
      <c r="C1686" s="59"/>
      <c r="D1686" s="681"/>
      <c r="E1686" s="682"/>
      <c r="F1686" s="31"/>
      <c r="G1686" s="87"/>
      <c r="H1686" s="651" t="s">
        <v>41</v>
      </c>
      <c r="I1686" s="652"/>
      <c r="J1686" s="652"/>
      <c r="K1686" s="652"/>
      <c r="L1686" s="653"/>
      <c r="M1686" s="24"/>
      <c r="N1686" s="25"/>
    </row>
    <row r="1687" spans="1:14" ht="20.100000000000001" customHeight="1" x14ac:dyDescent="0.25">
      <c r="A1687" s="121"/>
      <c r="B1687" s="23"/>
      <c r="C1687" s="59"/>
      <c r="D1687" s="681"/>
      <c r="E1687" s="682"/>
      <c r="F1687" s="31"/>
      <c r="G1687" s="87"/>
      <c r="H1687" s="126" t="s">
        <v>0</v>
      </c>
      <c r="I1687" s="127" t="s">
        <v>2</v>
      </c>
      <c r="J1687" s="127" t="s">
        <v>3</v>
      </c>
      <c r="K1687" s="127" t="s">
        <v>4</v>
      </c>
      <c r="L1687" s="128" t="s">
        <v>5</v>
      </c>
      <c r="M1687" s="127" t="s">
        <v>44</v>
      </c>
      <c r="N1687" s="25"/>
    </row>
    <row r="1688" spans="1:14" ht="15.95" customHeight="1" x14ac:dyDescent="0.25">
      <c r="A1688" s="121"/>
      <c r="B1688" s="23"/>
      <c r="C1688" s="59"/>
      <c r="D1688" s="681"/>
      <c r="E1688" s="682"/>
      <c r="F1688" s="31"/>
      <c r="G1688" s="87"/>
      <c r="H1688" s="45"/>
      <c r="I1688" s="46"/>
      <c r="J1688" s="46"/>
      <c r="K1688" s="46"/>
      <c r="L1688" s="47"/>
      <c r="M1688" s="23"/>
      <c r="N1688" s="25"/>
    </row>
    <row r="1689" spans="1:14" ht="20.100000000000001" customHeight="1" x14ac:dyDescent="0.25">
      <c r="A1689" s="121"/>
      <c r="B1689" s="23"/>
      <c r="C1689" s="79" t="s">
        <v>38</v>
      </c>
      <c r="D1689" s="130"/>
      <c r="E1689" s="131"/>
      <c r="F1689" s="31"/>
      <c r="G1689" s="87"/>
      <c r="H1689" s="48">
        <f>+$D$1700</f>
        <v>43880</v>
      </c>
      <c r="I1689" s="136"/>
      <c r="J1689" s="49"/>
      <c r="K1689" s="49"/>
      <c r="L1689" s="50">
        <f>+D1702</f>
        <v>4281581</v>
      </c>
      <c r="M1689" s="93">
        <f>-L1689</f>
        <v>-4281581</v>
      </c>
      <c r="N1689" s="25"/>
    </row>
    <row r="1690" spans="1:14" ht="15.95" customHeight="1" x14ac:dyDescent="0.25">
      <c r="A1690" s="121"/>
      <c r="B1690" s="23"/>
      <c r="C1690" s="59"/>
      <c r="D1690" s="132"/>
      <c r="E1690" s="133"/>
      <c r="F1690" s="31"/>
      <c r="G1690" s="87"/>
      <c r="H1690" s="51">
        <f>IF(DAY(H1689)=DAY($H$1689),IF(WEEKDAY(EDATE(H1689,$D$1703),3)&lt;5,EDATE(H1689,$D$1703),WORKDAY(EDATE(H1689,$D$1703),1)),IF(WEEKDAY(EDATE($H$1689,$D$1703*COUNT($H$1689:H1689)),3)&lt;5,EDATE($H$1689,$D$1703*COUNT($H$1689:H1689)),WORKDAY(EDATE($H$1689,$D$1703*COUNT($H$1689:H1689)),1)))</f>
        <v>43970</v>
      </c>
      <c r="I1690" s="137" t="s">
        <v>7</v>
      </c>
      <c r="J1690" s="52">
        <f>+(($D$1705/365)*(H1690-H1689))*L1689</f>
        <v>100294.56863013699</v>
      </c>
      <c r="K1690" s="52">
        <f>+IF(OR(I1690="A + C",I1690="A"),$L$1689*$D$1706,0)</f>
        <v>0</v>
      </c>
      <c r="L1690" s="53">
        <f>+L1689-K1690</f>
        <v>4281581</v>
      </c>
      <c r="M1690" s="94">
        <f>+J1690+K1690</f>
        <v>100294.56863013699</v>
      </c>
      <c r="N1690" s="25"/>
    </row>
    <row r="1691" spans="1:14" ht="20.100000000000001" customHeight="1" x14ac:dyDescent="0.25">
      <c r="A1691" s="121"/>
      <c r="B1691" s="23"/>
      <c r="C1691" s="60"/>
      <c r="D1691" s="134"/>
      <c r="E1691" s="135"/>
      <c r="F1691" s="34"/>
      <c r="G1691" s="88"/>
      <c r="H1691" s="51">
        <f>IF(DAY(H1690)=DAY($H$1689),IF(WEEKDAY(EDATE(H1690,$D$1703),3)&lt;5,EDATE(H1690,$D$1703),WORKDAY(EDATE(H1690,$D$1703),1)),IF(WEEKDAY(EDATE($H$1689,$D$1703*COUNT($H$1689:H1690)),3)&lt;5,EDATE($H$1689,$D$1703*COUNT($H$1689:H1690)),WORKDAY(EDATE($H$1689,$D$1703*COUNT($H$1689:H1690)),1)))</f>
        <v>44062</v>
      </c>
      <c r="I1691" s="137" t="s">
        <v>7</v>
      </c>
      <c r="J1691" s="52">
        <f>+(($D$1705/365)*(H1691-H1690))*L1690</f>
        <v>102523.33682191781</v>
      </c>
      <c r="K1691" s="52">
        <f>+IF(OR(I1691="A + C",I1691="A"),$D$1702*$D$1706,0)</f>
        <v>0</v>
      </c>
      <c r="L1691" s="53">
        <f>+L1690-K1691</f>
        <v>4281581</v>
      </c>
      <c r="M1691" s="94">
        <f>+J1691+K1691</f>
        <v>102523.33682191781</v>
      </c>
      <c r="N1691" s="25"/>
    </row>
    <row r="1692" spans="1:14" ht="15.95" customHeight="1" x14ac:dyDescent="0.25">
      <c r="A1692" s="121"/>
      <c r="B1692" s="23"/>
      <c r="C1692" s="60"/>
      <c r="D1692" s="55" t="str">
        <f>B1678</f>
        <v>Rizobacter II</v>
      </c>
      <c r="E1692" s="64"/>
      <c r="F1692" s="34"/>
      <c r="G1692" s="88">
        <f>J1682</f>
        <v>0</v>
      </c>
      <c r="H1692" s="51">
        <f>IF(DAY(H1691)=DAY($H$1689),IF(WEEKDAY(EDATE(H1691,$D$1703),3)&lt;5,EDATE(H1691,$D$1703),WORKDAY(EDATE(H1691,$D$1703),1)),IF(WEEKDAY(EDATE($H$1689,$D$1703*COUNT($H$1689:H1691)),3)&lt;5,EDATE($H$1689,$D$1703*COUNT($H$1689:H1691)),WORKDAY(EDATE($H$1689,$D$1703*COUNT($H$1689:H1691)),1)))</f>
        <v>44154</v>
      </c>
      <c r="I1692" s="137" t="s">
        <v>7</v>
      </c>
      <c r="J1692" s="52">
        <f>+(($D$1705/365)*(H1692-H1691))*L1691</f>
        <v>102523.33682191781</v>
      </c>
      <c r="K1692" s="52">
        <f>+IF(OR(I1692="A + C",I1692="A"),$D$1702*$D$1706,0)</f>
        <v>0</v>
      </c>
      <c r="L1692" s="53">
        <f>+L1691-K1692</f>
        <v>4281581</v>
      </c>
      <c r="M1692" s="94">
        <f>+J1692+K1692</f>
        <v>102523.33682191781</v>
      </c>
      <c r="N1692" s="25"/>
    </row>
    <row r="1693" spans="1:14" ht="15.95" customHeight="1" x14ac:dyDescent="0.25">
      <c r="A1693" s="121"/>
      <c r="B1693" s="32"/>
      <c r="D1693" s="644"/>
      <c r="E1693" s="660"/>
      <c r="F1693" s="34"/>
      <c r="G1693" s="88"/>
      <c r="H1693" s="51">
        <f>IF(DAY(H1692)=DAY($H$1689),IF(WEEKDAY(EDATE(H1692,$D$1703),3)&lt;5,EDATE(H1692,$D$1703),WORKDAY(EDATE(H1692,$D$1703),1)),IF(WEEKDAY(EDATE($H$1689,$D$1703*COUNT($H$1689:H1692)),3)&lt;5,EDATE($H$1689,$D$1703*COUNT($H$1689:H1692)),WORKDAY(EDATE($H$1689,$D$1703*COUNT($H$1689:H1692)),1)))</f>
        <v>44246</v>
      </c>
      <c r="I1693" s="137" t="s">
        <v>13</v>
      </c>
      <c r="J1693" s="52">
        <f>+(($D$1705/365)*(H1693-H1692))*L1692</f>
        <v>102523.33682191781</v>
      </c>
      <c r="K1693" s="52">
        <f>+IF(OR(I1693="A + C",I1693="A"),$D$1702*$D$1706,0)</f>
        <v>4281581</v>
      </c>
      <c r="L1693" s="53">
        <f>+L1692-K1693</f>
        <v>0</v>
      </c>
      <c r="M1693" s="94">
        <f>+J1693+K1693</f>
        <v>4384104.3368219174</v>
      </c>
      <c r="N1693" s="25"/>
    </row>
    <row r="1694" spans="1:14" ht="15.95" customHeight="1" x14ac:dyDescent="0.25">
      <c r="A1694" s="121"/>
      <c r="B1694" s="23"/>
      <c r="C1694" s="638" t="s">
        <v>36</v>
      </c>
      <c r="D1694" s="640"/>
      <c r="E1694" s="36"/>
      <c r="F1694" s="34"/>
      <c r="G1694" s="89"/>
      <c r="H1694" s="54"/>
      <c r="I1694" s="144"/>
      <c r="J1694" s="55"/>
      <c r="K1694" s="56"/>
      <c r="L1694" s="57"/>
      <c r="M1694" s="95"/>
      <c r="N1694" s="25"/>
    </row>
    <row r="1695" spans="1:14" x14ac:dyDescent="0.25">
      <c r="A1695" s="121"/>
      <c r="B1695" s="23"/>
      <c r="C1695" s="59"/>
      <c r="D1695" s="62"/>
      <c r="E1695" s="36"/>
      <c r="F1695" s="36"/>
      <c r="G1695" s="89"/>
      <c r="H1695" s="24"/>
      <c r="I1695" s="24"/>
      <c r="J1695" s="24"/>
      <c r="K1695" s="24"/>
      <c r="L1695" s="24"/>
      <c r="M1695" s="24"/>
      <c r="N1695" s="25"/>
    </row>
    <row r="1696" spans="1:14" ht="15" x14ac:dyDescent="0.25">
      <c r="A1696" s="121"/>
      <c r="B1696" s="23"/>
      <c r="C1696" s="59" t="s">
        <v>9</v>
      </c>
      <c r="D1696" s="129" t="s">
        <v>49</v>
      </c>
      <c r="E1696" s="36"/>
      <c r="F1696" s="36"/>
      <c r="G1696" s="89"/>
      <c r="H1696" s="680" t="s">
        <v>43</v>
      </c>
      <c r="I1696" s="680"/>
      <c r="J1696" s="92">
        <v>0</v>
      </c>
      <c r="K1696" s="92"/>
      <c r="L1696" s="24"/>
      <c r="M1696" s="24"/>
      <c r="N1696" s="25"/>
    </row>
    <row r="1697" spans="1:14" x14ac:dyDescent="0.25">
      <c r="A1697" s="121"/>
      <c r="B1697" s="23"/>
      <c r="C1697" s="59" t="s">
        <v>51</v>
      </c>
      <c r="D1697" s="138" t="s">
        <v>49</v>
      </c>
      <c r="E1697" s="36"/>
      <c r="F1697" s="36"/>
      <c r="G1697" s="89"/>
      <c r="H1697" s="24"/>
      <c r="I1697" s="24"/>
      <c r="J1697" s="24"/>
      <c r="K1697" s="24"/>
      <c r="L1697" s="33"/>
      <c r="M1697" s="33"/>
      <c r="N1697" s="25"/>
    </row>
    <row r="1698" spans="1:14" x14ac:dyDescent="0.25">
      <c r="A1698" s="121"/>
      <c r="B1698" s="23"/>
      <c r="C1698" s="59" t="s">
        <v>52</v>
      </c>
      <c r="D1698" s="138" t="s">
        <v>49</v>
      </c>
      <c r="E1698" s="36"/>
      <c r="F1698" s="36"/>
      <c r="G1698" s="90"/>
      <c r="H1698" s="24"/>
      <c r="I1698" s="24"/>
      <c r="J1698" s="24"/>
      <c r="K1698" s="24"/>
      <c r="L1698" s="24"/>
      <c r="M1698" s="24"/>
      <c r="N1698" s="25"/>
    </row>
    <row r="1699" spans="1:14" ht="15" x14ac:dyDescent="0.25">
      <c r="A1699" s="121"/>
      <c r="B1699" s="23"/>
      <c r="C1699" s="59" t="s">
        <v>10</v>
      </c>
      <c r="D1699" s="139">
        <v>43875</v>
      </c>
      <c r="E1699" s="36"/>
      <c r="F1699" s="36"/>
      <c r="G1699" s="90"/>
      <c r="H1699" s="638" t="s">
        <v>44</v>
      </c>
      <c r="I1699" s="639"/>
      <c r="J1699" s="639"/>
      <c r="K1699" s="639"/>
      <c r="L1699" s="639"/>
      <c r="M1699" s="640"/>
      <c r="N1699" s="25"/>
    </row>
    <row r="1700" spans="1:14" x14ac:dyDescent="0.25">
      <c r="A1700" s="121"/>
      <c r="B1700" s="23"/>
      <c r="C1700" s="59" t="s">
        <v>11</v>
      </c>
      <c r="D1700" s="139">
        <v>43880</v>
      </c>
      <c r="E1700" s="41"/>
      <c r="F1700" s="24"/>
      <c r="G1700" s="90"/>
      <c r="H1700" s="23"/>
      <c r="I1700" s="24"/>
      <c r="J1700" s="24"/>
      <c r="K1700" s="24"/>
      <c r="L1700" s="24"/>
      <c r="M1700" s="25"/>
      <c r="N1700" s="25"/>
    </row>
    <row r="1701" spans="1:14" x14ac:dyDescent="0.25">
      <c r="A1701" s="121"/>
      <c r="B1701" s="23"/>
      <c r="C1701" s="59" t="s">
        <v>12</v>
      </c>
      <c r="D1701" s="139">
        <v>44246</v>
      </c>
      <c r="E1701" s="36"/>
      <c r="F1701" s="24"/>
      <c r="G1701" s="90"/>
      <c r="H1701" s="23"/>
      <c r="I1701" s="24"/>
      <c r="J1701" s="24"/>
      <c r="K1701" s="24"/>
      <c r="L1701" s="24"/>
      <c r="M1701" s="25"/>
      <c r="N1701" s="25"/>
    </row>
    <row r="1702" spans="1:14" x14ac:dyDescent="0.25">
      <c r="A1702" s="121"/>
      <c r="B1702" s="23"/>
      <c r="C1702" s="59" t="s">
        <v>27</v>
      </c>
      <c r="D1702" s="140">
        <v>4281581</v>
      </c>
      <c r="E1702" s="43"/>
      <c r="F1702" s="24"/>
      <c r="G1702" s="90"/>
      <c r="H1702" s="96"/>
      <c r="I1702" s="35"/>
      <c r="J1702" s="24"/>
      <c r="K1702" s="24"/>
      <c r="L1702" s="24"/>
      <c r="M1702" s="25"/>
      <c r="N1702" s="25"/>
    </row>
    <row r="1703" spans="1:14" x14ac:dyDescent="0.25">
      <c r="A1703" s="121"/>
      <c r="B1703" s="23"/>
      <c r="C1703" s="59" t="s">
        <v>26</v>
      </c>
      <c r="D1703" s="140">
        <v>3</v>
      </c>
      <c r="E1703" s="43"/>
      <c r="F1703" s="24"/>
      <c r="G1703" s="90"/>
      <c r="H1703" s="23"/>
      <c r="I1703" s="24"/>
      <c r="J1703" s="24"/>
      <c r="K1703" s="24"/>
      <c r="L1703" s="24"/>
      <c r="M1703" s="25"/>
      <c r="N1703" s="25"/>
    </row>
    <row r="1704" spans="1:14" x14ac:dyDescent="0.25">
      <c r="A1704" s="121"/>
      <c r="B1704" s="23"/>
      <c r="C1704" s="59" t="s">
        <v>19</v>
      </c>
      <c r="D1704" s="141" t="s">
        <v>50</v>
      </c>
      <c r="E1704" s="43"/>
      <c r="F1704" s="24"/>
      <c r="G1704" s="90"/>
      <c r="H1704" s="23"/>
      <c r="I1704" s="24"/>
      <c r="J1704" s="24"/>
      <c r="K1704" s="24"/>
      <c r="L1704" s="24"/>
      <c r="M1704" s="25"/>
      <c r="N1704" s="25"/>
    </row>
    <row r="1705" spans="1:14" x14ac:dyDescent="0.25">
      <c r="A1705" s="121"/>
      <c r="B1705" s="23"/>
      <c r="C1705" s="59" t="s">
        <v>14</v>
      </c>
      <c r="D1705" s="142">
        <v>9.5000000000000001E-2</v>
      </c>
      <c r="E1705" s="44"/>
      <c r="F1705" s="24"/>
      <c r="G1705" s="90"/>
      <c r="H1705" s="23"/>
      <c r="I1705" s="24"/>
      <c r="J1705" s="24"/>
      <c r="K1705" s="24"/>
      <c r="L1705" s="24"/>
      <c r="M1705" s="25"/>
      <c r="N1705" s="25"/>
    </row>
    <row r="1706" spans="1:14" x14ac:dyDescent="0.25">
      <c r="A1706" s="121"/>
      <c r="B1706" s="23"/>
      <c r="C1706" s="59" t="s">
        <v>55</v>
      </c>
      <c r="D1706" s="142">
        <v>1</v>
      </c>
      <c r="E1706" s="24"/>
      <c r="F1706" s="24"/>
      <c r="G1706" s="90"/>
      <c r="H1706" s="23"/>
      <c r="I1706" s="24"/>
      <c r="J1706" s="24"/>
      <c r="K1706" s="24"/>
      <c r="L1706" s="24"/>
      <c r="M1706" s="25"/>
      <c r="N1706" s="25"/>
    </row>
    <row r="1707" spans="1:14" x14ac:dyDescent="0.25">
      <c r="A1707" s="121"/>
      <c r="B1707" s="23"/>
      <c r="C1707" s="63"/>
      <c r="D1707" s="145"/>
      <c r="E1707" s="24"/>
      <c r="F1707" s="24"/>
      <c r="G1707" s="90"/>
      <c r="H1707" s="23"/>
      <c r="I1707" s="24"/>
      <c r="J1707" s="24"/>
      <c r="K1707" s="24"/>
      <c r="L1707" s="24"/>
      <c r="M1707" s="25"/>
      <c r="N1707" s="25"/>
    </row>
    <row r="1708" spans="1:14" x14ac:dyDescent="0.25">
      <c r="A1708" s="121"/>
      <c r="B1708" s="23"/>
      <c r="C1708" s="24"/>
      <c r="D1708" s="24"/>
      <c r="E1708" s="24"/>
      <c r="F1708" s="24"/>
      <c r="G1708" s="90"/>
      <c r="H1708" s="23"/>
      <c r="I1708" s="24"/>
      <c r="J1708" s="24"/>
      <c r="K1708" s="24"/>
      <c r="L1708" s="24"/>
      <c r="M1708" s="25"/>
      <c r="N1708" s="25"/>
    </row>
    <row r="1709" spans="1:14" x14ac:dyDescent="0.25">
      <c r="A1709" s="121"/>
      <c r="B1709" s="23"/>
      <c r="C1709" s="24"/>
      <c r="D1709" s="24"/>
      <c r="E1709" s="24"/>
      <c r="F1709" s="24"/>
      <c r="G1709" s="90"/>
      <c r="H1709" s="23"/>
      <c r="I1709" s="24"/>
      <c r="J1709" s="24"/>
      <c r="K1709" s="24"/>
      <c r="L1709" s="24"/>
      <c r="M1709" s="25"/>
      <c r="N1709" s="25"/>
    </row>
    <row r="1710" spans="1:14" x14ac:dyDescent="0.25">
      <c r="A1710" s="121"/>
      <c r="B1710" s="23"/>
      <c r="C1710" s="24"/>
      <c r="D1710" s="24"/>
      <c r="E1710" s="24"/>
      <c r="F1710" s="24"/>
      <c r="G1710" s="90"/>
      <c r="H1710" s="23"/>
      <c r="I1710" s="24"/>
      <c r="J1710" s="24"/>
      <c r="K1710" s="24"/>
      <c r="L1710" s="24"/>
      <c r="M1710" s="25"/>
      <c r="N1710" s="25"/>
    </row>
    <row r="1711" spans="1:14" x14ac:dyDescent="0.25">
      <c r="A1711" s="121"/>
      <c r="B1711" s="23"/>
      <c r="C1711" s="24"/>
      <c r="D1711" s="24"/>
      <c r="E1711" s="24"/>
      <c r="F1711" s="24"/>
      <c r="G1711" s="90"/>
      <c r="H1711" s="26"/>
      <c r="I1711" s="27"/>
      <c r="J1711" s="27"/>
      <c r="K1711" s="27"/>
      <c r="L1711" s="27"/>
      <c r="M1711" s="28"/>
      <c r="N1711" s="25"/>
    </row>
    <row r="1712" spans="1:14" x14ac:dyDescent="0.25">
      <c r="A1712" s="121"/>
      <c r="B1712" s="26"/>
      <c r="C1712" s="85"/>
      <c r="D1712" s="27"/>
      <c r="E1712" s="27"/>
      <c r="F1712" s="27"/>
      <c r="G1712" s="91"/>
      <c r="H1712" s="27"/>
      <c r="I1712" s="27"/>
      <c r="J1712" s="27"/>
      <c r="K1712" s="27"/>
      <c r="L1712" s="27"/>
      <c r="M1712" s="27"/>
      <c r="N1712" s="28"/>
    </row>
    <row r="1713" spans="1:14" x14ac:dyDescent="0.25">
      <c r="A1713" s="121"/>
      <c r="B1713" s="23"/>
      <c r="C1713" s="24"/>
      <c r="D1713" s="24"/>
      <c r="E1713" s="24"/>
      <c r="F1713" s="24"/>
      <c r="G1713" s="24"/>
      <c r="H1713" s="24"/>
      <c r="I1713" s="24"/>
      <c r="J1713" s="24"/>
      <c r="K1713" s="24"/>
      <c r="L1713" s="24"/>
      <c r="M1713" s="24"/>
      <c r="N1713" s="25"/>
    </row>
    <row r="1714" spans="1:14" ht="23.25" x14ac:dyDescent="0.25">
      <c r="A1714" s="122" t="s">
        <v>133</v>
      </c>
      <c r="B1714" s="683" t="s">
        <v>210</v>
      </c>
      <c r="C1714" s="684"/>
      <c r="D1714" s="684"/>
      <c r="E1714" s="684"/>
      <c r="F1714" s="684"/>
      <c r="G1714" s="684"/>
      <c r="H1714" s="684"/>
      <c r="I1714" s="684"/>
      <c r="J1714" s="684"/>
      <c r="K1714" s="684"/>
      <c r="L1714" s="684"/>
      <c r="M1714" s="684"/>
      <c r="N1714" s="685"/>
    </row>
    <row r="1715" spans="1:14" x14ac:dyDescent="0.25">
      <c r="A1715" s="121"/>
      <c r="B1715" s="23"/>
      <c r="C1715" s="24"/>
      <c r="D1715" s="24"/>
      <c r="E1715" s="24"/>
      <c r="F1715" s="31"/>
      <c r="G1715" s="87"/>
      <c r="H1715" s="31"/>
      <c r="I1715" s="31"/>
      <c r="J1715" s="24"/>
      <c r="K1715" s="24"/>
      <c r="L1715" s="24"/>
      <c r="M1715" s="24"/>
      <c r="N1715" s="25"/>
    </row>
    <row r="1716" spans="1:14" ht="15" x14ac:dyDescent="0.25">
      <c r="A1716" s="121"/>
      <c r="B1716" s="23"/>
      <c r="C1716" s="638" t="s">
        <v>37</v>
      </c>
      <c r="D1716" s="639"/>
      <c r="E1716" s="640"/>
      <c r="F1716" s="31"/>
      <c r="G1716" s="87"/>
      <c r="H1716" s="641" t="s">
        <v>28</v>
      </c>
      <c r="I1716" s="642"/>
      <c r="J1716" s="39">
        <f>+$D$1738-SUMIF($H$1722:$H$1732,"&lt;"&amp;$M$4,$K$1722:$K$1732)</f>
        <v>0</v>
      </c>
      <c r="K1716" s="24"/>
      <c r="L1716" s="24"/>
      <c r="M1716" s="24"/>
      <c r="N1716" s="25"/>
    </row>
    <row r="1717" spans="1:14" ht="15" x14ac:dyDescent="0.25">
      <c r="A1717" s="121"/>
      <c r="B1717" s="23"/>
      <c r="C1717" s="58"/>
      <c r="D1717" s="664"/>
      <c r="E1717" s="665"/>
      <c r="F1717" s="31"/>
      <c r="G1717" s="87"/>
      <c r="H1717" s="645" t="s">
        <v>29</v>
      </c>
      <c r="I1717" s="646"/>
      <c r="J1717" s="40">
        <f>+$D$1737</f>
        <v>44053</v>
      </c>
      <c r="K1717" s="24"/>
      <c r="L1717" s="24"/>
      <c r="M1717" s="24"/>
      <c r="N1717" s="25"/>
    </row>
    <row r="1718" spans="1:14" ht="15" x14ac:dyDescent="0.25">
      <c r="A1718" s="121"/>
      <c r="B1718" s="23"/>
      <c r="C1718" s="59" t="s">
        <v>25</v>
      </c>
      <c r="D1718" s="681"/>
      <c r="E1718" s="682"/>
      <c r="F1718" s="31"/>
      <c r="G1718" s="87"/>
      <c r="H1718" s="649" t="s">
        <v>30</v>
      </c>
      <c r="I1718" s="650"/>
      <c r="J1718" s="42" t="str">
        <f t="array" ref="J1718">+IF(H1731&gt;=M4,MIN(IF($H$1722:$H$1732&gt;$M$4,$H$1722:$H$1732,"")),"vencida")</f>
        <v>vencida</v>
      </c>
      <c r="K1718" s="24"/>
      <c r="L1718" s="24"/>
      <c r="M1718" s="24"/>
      <c r="N1718" s="25"/>
    </row>
    <row r="1719" spans="1:14" x14ac:dyDescent="0.25">
      <c r="A1719" s="121"/>
      <c r="B1719" s="23"/>
      <c r="C1719" s="59" t="s">
        <v>6</v>
      </c>
      <c r="D1719" s="681" t="s">
        <v>224</v>
      </c>
      <c r="E1719" s="682"/>
      <c r="F1719" s="31"/>
      <c r="G1719" s="87"/>
      <c r="H1719" s="24"/>
      <c r="I1719" s="24"/>
      <c r="J1719" s="24"/>
      <c r="K1719" s="24"/>
      <c r="L1719" s="24"/>
      <c r="M1719" s="24"/>
      <c r="N1719" s="25"/>
    </row>
    <row r="1720" spans="1:14" x14ac:dyDescent="0.25">
      <c r="A1720" s="121"/>
      <c r="B1720" s="23"/>
      <c r="C1720" s="59" t="s">
        <v>8</v>
      </c>
      <c r="D1720" s="681" t="s">
        <v>17</v>
      </c>
      <c r="E1720" s="682"/>
      <c r="F1720" s="31"/>
      <c r="G1720" s="87"/>
      <c r="H1720" s="651" t="s">
        <v>41</v>
      </c>
      <c r="I1720" s="652"/>
      <c r="J1720" s="652"/>
      <c r="K1720" s="652"/>
      <c r="L1720" s="653"/>
      <c r="M1720" s="24"/>
      <c r="N1720" s="25"/>
    </row>
    <row r="1721" spans="1:14" ht="15" x14ac:dyDescent="0.25">
      <c r="A1721" s="121"/>
      <c r="B1721" s="23"/>
      <c r="C1721" s="59" t="s">
        <v>33</v>
      </c>
      <c r="D1721" s="132" t="s">
        <v>325</v>
      </c>
      <c r="E1721" s="274">
        <v>0.5</v>
      </c>
      <c r="F1721" s="281">
        <f>+E1721*$J$1716</f>
        <v>0</v>
      </c>
      <c r="G1721" s="87"/>
      <c r="H1721" s="126" t="s">
        <v>0</v>
      </c>
      <c r="I1721" s="127" t="s">
        <v>2</v>
      </c>
      <c r="J1721" s="127" t="s">
        <v>3</v>
      </c>
      <c r="K1721" s="127" t="s">
        <v>4</v>
      </c>
      <c r="L1721" s="128" t="s">
        <v>5</v>
      </c>
      <c r="M1721" s="127" t="s">
        <v>44</v>
      </c>
      <c r="N1721" s="25"/>
    </row>
    <row r="1722" spans="1:14" x14ac:dyDescent="0.25">
      <c r="A1722" s="121"/>
      <c r="B1722" s="23"/>
      <c r="C1722" s="59" t="s">
        <v>33</v>
      </c>
      <c r="D1722" s="132" t="s">
        <v>287</v>
      </c>
      <c r="E1722" s="274">
        <v>0.25</v>
      </c>
      <c r="F1722" s="281">
        <f>+E1722*$J$1716</f>
        <v>0</v>
      </c>
      <c r="G1722" s="87"/>
      <c r="H1722" s="45"/>
      <c r="I1722" s="46"/>
      <c r="J1722" s="46"/>
      <c r="K1722" s="46"/>
      <c r="L1722" s="47"/>
      <c r="M1722" s="23"/>
      <c r="N1722" s="25"/>
    </row>
    <row r="1723" spans="1:14" x14ac:dyDescent="0.25">
      <c r="A1723" s="121"/>
      <c r="B1723" s="23"/>
      <c r="C1723" s="59" t="s">
        <v>33</v>
      </c>
      <c r="D1723" s="132" t="s">
        <v>301</v>
      </c>
      <c r="E1723" s="274">
        <v>0.25</v>
      </c>
      <c r="F1723" s="281">
        <f>+E1723*$J$1716</f>
        <v>0</v>
      </c>
      <c r="G1723" s="87"/>
      <c r="H1723" s="48">
        <f>+$D$1736</f>
        <v>43322</v>
      </c>
      <c r="I1723" s="136"/>
      <c r="J1723" s="49"/>
      <c r="K1723" s="49"/>
      <c r="L1723" s="50">
        <f>+D1738</f>
        <v>600000</v>
      </c>
      <c r="M1723" s="93">
        <f>-L1723</f>
        <v>-600000</v>
      </c>
      <c r="N1723" s="25"/>
    </row>
    <row r="1724" spans="1:14" x14ac:dyDescent="0.25">
      <c r="A1724" s="121"/>
      <c r="B1724" s="23"/>
      <c r="C1724" s="59" t="s">
        <v>34</v>
      </c>
      <c r="D1724" s="681" t="s">
        <v>48</v>
      </c>
      <c r="E1724" s="682"/>
      <c r="F1724" s="31"/>
      <c r="G1724" s="87"/>
      <c r="H1724" s="51">
        <f>IF(DAY(H1723)=DAY($H$1723),IF(WEEKDAY(EDATE(H1723,$D$1739),3)&lt;5,EDATE(H1723,$D$1739),WORKDAY(EDATE(H1723,$D$1739),1)),IF(WEEKDAY(EDATE($H$1723,$D$1739*COUNT($H$1723:H1723)),3)&lt;5,EDATE($H$1723,$D$1739*COUNT($H$1723:H1723)),WORKDAY(EDATE($H$1723,$D$1739*COUNT($H$1723:H1723)),1)))</f>
        <v>43416</v>
      </c>
      <c r="I1724" s="137" t="s">
        <v>7</v>
      </c>
      <c r="J1724" s="52">
        <f t="shared" ref="J1724:J1731" si="161">+(($D$1741/365)*(H1724-H1723))*L1723</f>
        <v>15065.753424657536</v>
      </c>
      <c r="K1724" s="52">
        <f>+IF(OR(I1724="A + C",I1724="A"),$L$1723*$D$1742,0)</f>
        <v>0</v>
      </c>
      <c r="L1724" s="53">
        <f t="shared" ref="L1724:L1731" si="162">+L1723-K1724</f>
        <v>600000</v>
      </c>
      <c r="M1724" s="94">
        <f t="shared" ref="M1724:M1731" si="163">+J1724+K1724</f>
        <v>15065.753424657536</v>
      </c>
      <c r="N1724" s="25"/>
    </row>
    <row r="1725" spans="1:14" ht="15" x14ac:dyDescent="0.25">
      <c r="A1725" s="121"/>
      <c r="B1725" s="23"/>
      <c r="C1725" s="79" t="s">
        <v>38</v>
      </c>
      <c r="D1725" s="130"/>
      <c r="E1725" s="131"/>
      <c r="F1725" s="34"/>
      <c r="G1725" s="88"/>
      <c r="H1725" s="51">
        <f>IF(DAY(H1724)=DAY($H$1723),IF(WEEKDAY(EDATE(H1724,$D$1739),3)&lt;5,EDATE(H1724,$D$1739),WORKDAY(EDATE(H1724,$D$1739),1)),IF(WEEKDAY(EDATE($H$1723,$D$1739*COUNT($H$1723:H1724)),3)&lt;5,EDATE($H$1723,$D$1739*COUNT($H$1723:H1724)),WORKDAY(EDATE($H$1723,$D$1739*COUNT($H$1723:H1724)),1)))</f>
        <v>43507</v>
      </c>
      <c r="I1725" s="137" t="s">
        <v>13</v>
      </c>
      <c r="J1725" s="52">
        <f t="shared" si="161"/>
        <v>14584.931506849316</v>
      </c>
      <c r="K1725" s="52">
        <f t="shared" ref="K1725:K1731" si="164">+IF(OR(I1725="A + C",I1725="A"),$D$1738*$D$1742,0)</f>
        <v>85714.28571428571</v>
      </c>
      <c r="L1725" s="53">
        <f t="shared" si="162"/>
        <v>514285.71428571432</v>
      </c>
      <c r="M1725" s="94">
        <f t="shared" si="163"/>
        <v>100299.21722113503</v>
      </c>
      <c r="N1725" s="25"/>
    </row>
    <row r="1726" spans="1:14" x14ac:dyDescent="0.25">
      <c r="A1726" s="121"/>
      <c r="B1726" s="23"/>
      <c r="C1726" s="59"/>
      <c r="D1726" s="132"/>
      <c r="E1726" s="133"/>
      <c r="F1726" s="34"/>
      <c r="G1726" s="88"/>
      <c r="H1726" s="51">
        <f>IF(DAY(H1725)=DAY($H$1723),IF(WEEKDAY(EDATE(H1725,$D$1739),3)&lt;5,EDATE(H1725,$D$1739),WORKDAY(EDATE(H1725,$D$1739),1)),IF(WEEKDAY(EDATE($H$1723,$D$1739*COUNT($H$1723:H1725)),3)&lt;5,EDATE($H$1723,$D$1739*COUNT($H$1723:H1725)),WORKDAY(EDATE($H$1723,$D$1739*COUNT($H$1723:H1725)),1)))</f>
        <v>43595</v>
      </c>
      <c r="I1726" s="137" t="s">
        <v>13</v>
      </c>
      <c r="J1726" s="52">
        <f t="shared" si="161"/>
        <v>12089.236790606656</v>
      </c>
      <c r="K1726" s="52">
        <f t="shared" si="164"/>
        <v>85714.28571428571</v>
      </c>
      <c r="L1726" s="53">
        <f t="shared" si="162"/>
        <v>428571.42857142864</v>
      </c>
      <c r="M1726" s="94">
        <f t="shared" si="163"/>
        <v>97803.52250489236</v>
      </c>
      <c r="N1726" s="25"/>
    </row>
    <row r="1727" spans="1:14" x14ac:dyDescent="0.25">
      <c r="A1727" s="121"/>
      <c r="B1727" s="32"/>
      <c r="C1727" s="60"/>
      <c r="D1727" s="134"/>
      <c r="E1727" s="135"/>
      <c r="F1727" s="34"/>
      <c r="G1727" s="88"/>
      <c r="H1727" s="51">
        <f>IF(DAY(H1726)=DAY($H$1723),IF(WEEKDAY(EDATE(H1726,$D$1739),3)&lt;5,EDATE(H1726,$D$1739),WORKDAY(EDATE(H1726,$D$1739),1)),IF(WEEKDAY(EDATE($H$1723,$D$1739*COUNT($H$1723:H1726)),3)&lt;5,EDATE($H$1723,$D$1739*COUNT($H$1723:H1726)),WORKDAY(EDATE($H$1723,$D$1739*COUNT($H$1723:H1726)),1)))</f>
        <v>43689</v>
      </c>
      <c r="I1727" s="137" t="s">
        <v>13</v>
      </c>
      <c r="J1727" s="52">
        <f t="shared" si="161"/>
        <v>10761.252446183955</v>
      </c>
      <c r="K1727" s="52">
        <f t="shared" si="164"/>
        <v>85714.28571428571</v>
      </c>
      <c r="L1727" s="53">
        <f t="shared" si="162"/>
        <v>342857.14285714296</v>
      </c>
      <c r="M1727" s="94">
        <f t="shared" si="163"/>
        <v>96475.538160469659</v>
      </c>
      <c r="N1727" s="25"/>
    </row>
    <row r="1728" spans="1:14" x14ac:dyDescent="0.25">
      <c r="A1728" s="121"/>
      <c r="B1728" s="23"/>
      <c r="C1728" s="60"/>
      <c r="D1728" s="61" t="str">
        <f>B1714</f>
        <v>SAESA I</v>
      </c>
      <c r="E1728" s="270"/>
      <c r="F1728" s="34"/>
      <c r="G1728" s="88">
        <f>J1716</f>
        <v>0</v>
      </c>
      <c r="H1728" s="51">
        <f>IF(DAY(H1727)=DAY($H$1723),IF(WEEKDAY(EDATE(H1727,$D$1739),3)&lt;5,EDATE(H1727,$D$1739),WORKDAY(EDATE(H1727,$D$1739),1)),IF(WEEKDAY(EDATE($H$1723,$D$1739*COUNT($H$1723:H1727)),3)&lt;5,EDATE($H$1723,$D$1739*COUNT($H$1723:H1727)),WORKDAY(EDATE($H$1723,$D$1739*COUNT($H$1723:H1727)),1)))</f>
        <v>43780</v>
      </c>
      <c r="I1728" s="137" t="s">
        <v>13</v>
      </c>
      <c r="J1728" s="52">
        <f t="shared" si="161"/>
        <v>8334.2465753424694</v>
      </c>
      <c r="K1728" s="52">
        <f t="shared" si="164"/>
        <v>85714.28571428571</v>
      </c>
      <c r="L1728" s="53">
        <f t="shared" si="162"/>
        <v>257142.85714285725</v>
      </c>
      <c r="M1728" s="94">
        <f t="shared" si="163"/>
        <v>94048.532289628172</v>
      </c>
      <c r="N1728" s="25"/>
    </row>
    <row r="1729" spans="1:14" x14ac:dyDescent="0.25">
      <c r="A1729" s="121"/>
      <c r="B1729" s="23"/>
      <c r="D1729" s="271"/>
      <c r="E1729" s="272"/>
      <c r="F1729" s="36"/>
      <c r="G1729" s="89"/>
      <c r="H1729" s="51">
        <f>IF(DAY(H1728)=DAY($H$1723),IF(WEEKDAY(EDATE(H1728,$D$1739),3)&lt;5,EDATE(H1728,$D$1739),WORKDAY(EDATE(H1728,$D$1739),1)),IF(WEEKDAY(EDATE($H$1723,$D$1739*COUNT($H$1723:H1728)),3)&lt;5,EDATE($H$1723,$D$1739*COUNT($H$1723:H1728)),WORKDAY(EDATE($H$1723,$D$1739*COUNT($H$1723:H1728)),1)))</f>
        <v>43871</v>
      </c>
      <c r="I1729" s="137" t="s">
        <v>13</v>
      </c>
      <c r="J1729" s="52">
        <f t="shared" si="161"/>
        <v>6250.6849315068521</v>
      </c>
      <c r="K1729" s="52">
        <f t="shared" si="164"/>
        <v>85714.28571428571</v>
      </c>
      <c r="L1729" s="53">
        <f t="shared" si="162"/>
        <v>171428.57142857154</v>
      </c>
      <c r="M1729" s="94">
        <f t="shared" si="163"/>
        <v>91964.970645792564</v>
      </c>
      <c r="N1729" s="25"/>
    </row>
    <row r="1730" spans="1:14" ht="15" x14ac:dyDescent="0.25">
      <c r="A1730" s="121"/>
      <c r="B1730" s="23"/>
      <c r="C1730" s="268" t="s">
        <v>36</v>
      </c>
      <c r="D1730" s="269"/>
      <c r="E1730" s="36"/>
      <c r="F1730" s="36"/>
      <c r="G1730" s="89"/>
      <c r="H1730" s="51">
        <f>IF(DAY(H1729)=DAY($H$1723),IF(WEEKDAY(EDATE(H1729,$D$1739),3)&lt;5,EDATE(H1729,$D$1739),WORKDAY(EDATE(H1729,$D$1739),1)),IF(WEEKDAY(EDATE($H$1723,$D$1739*COUNT($H$1723:H1729)),3)&lt;5,EDATE($H$1723,$D$1739*COUNT($H$1723:H1729)),WORKDAY(EDATE($H$1723,$D$1739*COUNT($H$1723:H1729)),1)))</f>
        <v>43962</v>
      </c>
      <c r="I1730" s="137" t="s">
        <v>13</v>
      </c>
      <c r="J1730" s="52">
        <f t="shared" si="161"/>
        <v>4167.1232876712356</v>
      </c>
      <c r="K1730" s="52">
        <f t="shared" si="164"/>
        <v>85714.28571428571</v>
      </c>
      <c r="L1730" s="53">
        <f t="shared" si="162"/>
        <v>85714.285714285827</v>
      </c>
      <c r="M1730" s="94">
        <f t="shared" si="163"/>
        <v>89881.409001956941</v>
      </c>
      <c r="N1730" s="25"/>
    </row>
    <row r="1731" spans="1:14" x14ac:dyDescent="0.25">
      <c r="A1731" s="121"/>
      <c r="B1731" s="23"/>
      <c r="C1731" s="59"/>
      <c r="D1731" s="62"/>
      <c r="E1731" s="36"/>
      <c r="F1731" s="36"/>
      <c r="G1731" s="89"/>
      <c r="H1731" s="51">
        <f>IF(DAY(H1730)=DAY($H$1723),IF(WEEKDAY(EDATE(H1730,$D$1739),3)&lt;5,EDATE(H1730,$D$1739),WORKDAY(EDATE(H1730,$D$1739),1)),IF(WEEKDAY(EDATE($H$1723,$D$1739*COUNT($H$1723:H1730)),3)&lt;5,EDATE($H$1723,$D$1739*COUNT($H$1723:H1730)),WORKDAY(EDATE($H$1723,$D$1739*COUNT($H$1723:H1730)),1)))</f>
        <v>44053</v>
      </c>
      <c r="I1731" s="137" t="s">
        <v>13</v>
      </c>
      <c r="J1731" s="52">
        <f t="shared" si="161"/>
        <v>2083.5616438356192</v>
      </c>
      <c r="K1731" s="52">
        <f t="shared" si="164"/>
        <v>85714.28571428571</v>
      </c>
      <c r="L1731" s="53">
        <f t="shared" si="162"/>
        <v>1.1641532182693481E-10</v>
      </c>
      <c r="M1731" s="94">
        <f t="shared" si="163"/>
        <v>87797.847358121333</v>
      </c>
      <c r="N1731" s="25"/>
    </row>
    <row r="1732" spans="1:14" x14ac:dyDescent="0.25">
      <c r="A1732" s="121"/>
      <c r="B1732" s="23"/>
      <c r="C1732" s="59" t="s">
        <v>9</v>
      </c>
      <c r="D1732" s="129" t="s">
        <v>49</v>
      </c>
      <c r="E1732" s="36"/>
      <c r="F1732" s="36"/>
      <c r="G1732" s="89"/>
      <c r="H1732" s="54"/>
      <c r="I1732" s="144"/>
      <c r="J1732" s="55"/>
      <c r="K1732" s="56"/>
      <c r="L1732" s="57"/>
      <c r="M1732" s="95"/>
      <c r="N1732" s="25"/>
    </row>
    <row r="1733" spans="1:14" x14ac:dyDescent="0.25">
      <c r="A1733" s="121"/>
      <c r="B1733" s="23"/>
      <c r="C1733" s="59" t="s">
        <v>51</v>
      </c>
      <c r="D1733" s="138" t="s">
        <v>49</v>
      </c>
      <c r="E1733" s="36"/>
      <c r="F1733" s="36"/>
      <c r="G1733" s="89"/>
      <c r="H1733" s="24"/>
      <c r="I1733" s="24"/>
      <c r="J1733" s="24"/>
      <c r="K1733" s="24"/>
      <c r="L1733" s="24"/>
      <c r="M1733" s="24"/>
      <c r="N1733" s="25"/>
    </row>
    <row r="1734" spans="1:14" ht="15" x14ac:dyDescent="0.25">
      <c r="A1734" s="121"/>
      <c r="B1734" s="23"/>
      <c r="C1734" s="59" t="s">
        <v>52</v>
      </c>
      <c r="D1734" s="138" t="s">
        <v>49</v>
      </c>
      <c r="E1734" s="36"/>
      <c r="F1734" s="24"/>
      <c r="G1734" s="89"/>
      <c r="H1734" s="680" t="s">
        <v>43</v>
      </c>
      <c r="I1734" s="680"/>
      <c r="J1734" s="92">
        <v>0</v>
      </c>
      <c r="K1734" s="92"/>
      <c r="L1734" s="24"/>
      <c r="M1734" s="24"/>
      <c r="N1734" s="25"/>
    </row>
    <row r="1735" spans="1:14" x14ac:dyDescent="0.25">
      <c r="A1735" s="121"/>
      <c r="B1735" s="23"/>
      <c r="C1735" s="59" t="s">
        <v>10</v>
      </c>
      <c r="D1735" s="139">
        <v>43320</v>
      </c>
      <c r="E1735" s="36"/>
      <c r="F1735" s="24"/>
      <c r="G1735" s="89"/>
      <c r="H1735" s="24"/>
      <c r="I1735" s="24"/>
      <c r="J1735" s="392"/>
      <c r="K1735" s="24"/>
      <c r="L1735" s="33"/>
      <c r="M1735" s="33"/>
      <c r="N1735" s="25"/>
    </row>
    <row r="1736" spans="1:14" x14ac:dyDescent="0.25">
      <c r="A1736" s="121"/>
      <c r="B1736" s="23"/>
      <c r="C1736" s="59" t="s">
        <v>11</v>
      </c>
      <c r="D1736" s="139">
        <v>43322</v>
      </c>
      <c r="E1736" s="41"/>
      <c r="F1736" s="24"/>
      <c r="G1736" s="90"/>
      <c r="H1736" s="24"/>
      <c r="I1736" s="24"/>
      <c r="J1736" s="24"/>
      <c r="K1736" s="24"/>
      <c r="L1736" s="24"/>
      <c r="M1736" s="24"/>
      <c r="N1736" s="25"/>
    </row>
    <row r="1737" spans="1:14" ht="15" x14ac:dyDescent="0.25">
      <c r="A1737" s="121"/>
      <c r="B1737" s="23"/>
      <c r="C1737" s="59" t="s">
        <v>12</v>
      </c>
      <c r="D1737" s="139">
        <v>44053</v>
      </c>
      <c r="E1737" s="36"/>
      <c r="F1737" s="24"/>
      <c r="G1737" s="90"/>
      <c r="H1737" s="638" t="s">
        <v>44</v>
      </c>
      <c r="I1737" s="639"/>
      <c r="J1737" s="639"/>
      <c r="K1737" s="639"/>
      <c r="L1737" s="639"/>
      <c r="M1737" s="640"/>
      <c r="N1737" s="25"/>
    </row>
    <row r="1738" spans="1:14" x14ac:dyDescent="0.25">
      <c r="A1738" s="121"/>
      <c r="B1738" s="23"/>
      <c r="C1738" s="59" t="s">
        <v>27</v>
      </c>
      <c r="D1738" s="140">
        <v>600000</v>
      </c>
      <c r="E1738" s="43"/>
      <c r="F1738" s="24"/>
      <c r="G1738" s="90"/>
      <c r="H1738" s="23"/>
      <c r="I1738" s="24"/>
      <c r="J1738" s="24"/>
      <c r="K1738" s="24"/>
      <c r="L1738" s="24"/>
      <c r="M1738" s="25"/>
      <c r="N1738" s="25"/>
    </row>
    <row r="1739" spans="1:14" x14ac:dyDescent="0.25">
      <c r="A1739" s="121"/>
      <c r="B1739" s="23"/>
      <c r="C1739" s="59" t="s">
        <v>26</v>
      </c>
      <c r="D1739" s="140">
        <v>3</v>
      </c>
      <c r="E1739" s="43"/>
      <c r="F1739" s="24"/>
      <c r="G1739" s="90"/>
      <c r="H1739" s="23"/>
      <c r="I1739" s="24"/>
      <c r="J1739" s="24"/>
      <c r="K1739" s="24"/>
      <c r="L1739" s="24"/>
      <c r="M1739" s="25"/>
      <c r="N1739" s="25"/>
    </row>
    <row r="1740" spans="1:14" x14ac:dyDescent="0.25">
      <c r="A1740" s="121"/>
      <c r="B1740" s="23"/>
      <c r="C1740" s="59" t="s">
        <v>19</v>
      </c>
      <c r="D1740" s="141" t="s">
        <v>50</v>
      </c>
      <c r="E1740" s="43"/>
      <c r="F1740" s="24"/>
      <c r="G1740" s="90"/>
      <c r="H1740" s="96"/>
      <c r="I1740" s="35"/>
      <c r="J1740" s="24"/>
      <c r="K1740" s="24"/>
      <c r="L1740" s="24"/>
      <c r="M1740" s="25"/>
      <c r="N1740" s="25"/>
    </row>
    <row r="1741" spans="1:14" x14ac:dyDescent="0.25">
      <c r="A1741" s="121"/>
      <c r="B1741" s="23"/>
      <c r="C1741" s="59" t="s">
        <v>14</v>
      </c>
      <c r="D1741" s="142">
        <v>9.7500000000000003E-2</v>
      </c>
      <c r="E1741" s="44"/>
      <c r="F1741" s="24"/>
      <c r="G1741" s="90"/>
      <c r="H1741" s="23"/>
      <c r="I1741" s="24"/>
      <c r="J1741" s="24"/>
      <c r="K1741" s="24"/>
      <c r="L1741" s="24"/>
      <c r="M1741" s="25"/>
      <c r="N1741" s="25"/>
    </row>
    <row r="1742" spans="1:14" x14ac:dyDescent="0.25">
      <c r="A1742" s="121"/>
      <c r="B1742" s="23"/>
      <c r="C1742" s="59" t="s">
        <v>78</v>
      </c>
      <c r="D1742" s="142">
        <f>100%/7</f>
        <v>0.14285714285714285</v>
      </c>
      <c r="E1742" s="24"/>
      <c r="F1742" s="24"/>
      <c r="G1742" s="90"/>
      <c r="H1742" s="23"/>
      <c r="I1742" s="24"/>
      <c r="J1742" s="24"/>
      <c r="K1742" s="24"/>
      <c r="L1742" s="24"/>
      <c r="M1742" s="25"/>
      <c r="N1742" s="25"/>
    </row>
    <row r="1743" spans="1:14" x14ac:dyDescent="0.25">
      <c r="A1743" s="121"/>
      <c r="B1743" s="23"/>
      <c r="C1743" s="63"/>
      <c r="D1743" s="145"/>
      <c r="E1743" s="24"/>
      <c r="F1743" s="24"/>
      <c r="G1743" s="90"/>
      <c r="H1743" s="23"/>
      <c r="I1743" s="24"/>
      <c r="J1743" s="24"/>
      <c r="K1743" s="24"/>
      <c r="L1743" s="24"/>
      <c r="M1743" s="25"/>
      <c r="N1743" s="25"/>
    </row>
    <row r="1744" spans="1:14" x14ac:dyDescent="0.25">
      <c r="A1744" s="121"/>
      <c r="B1744" s="23"/>
      <c r="C1744" s="24"/>
      <c r="D1744" s="24"/>
      <c r="E1744" s="24"/>
      <c r="F1744" s="24"/>
      <c r="G1744" s="90"/>
      <c r="H1744" s="23"/>
      <c r="I1744" s="24"/>
      <c r="J1744" s="24"/>
      <c r="K1744" s="24"/>
      <c r="L1744" s="24"/>
      <c r="M1744" s="25"/>
      <c r="N1744" s="25"/>
    </row>
    <row r="1745" spans="1:14" x14ac:dyDescent="0.25">
      <c r="A1745" s="121"/>
      <c r="B1745" s="23"/>
      <c r="C1745" s="24"/>
      <c r="D1745" s="24"/>
      <c r="E1745" s="24"/>
      <c r="F1745" s="24"/>
      <c r="G1745" s="90"/>
      <c r="H1745" s="23"/>
      <c r="I1745" s="24"/>
      <c r="J1745" s="24"/>
      <c r="K1745" s="24"/>
      <c r="L1745" s="24"/>
      <c r="M1745" s="25"/>
      <c r="N1745" s="25"/>
    </row>
    <row r="1746" spans="1:14" x14ac:dyDescent="0.25">
      <c r="A1746" s="121"/>
      <c r="B1746" s="23"/>
      <c r="C1746" s="24"/>
      <c r="D1746" s="24"/>
      <c r="E1746" s="24"/>
      <c r="F1746" s="24"/>
      <c r="G1746" s="90"/>
      <c r="H1746" s="23"/>
      <c r="I1746" s="24"/>
      <c r="J1746" s="24"/>
      <c r="K1746" s="24"/>
      <c r="L1746" s="24"/>
      <c r="M1746" s="25"/>
      <c r="N1746" s="25"/>
    </row>
    <row r="1747" spans="1:14" x14ac:dyDescent="0.25">
      <c r="A1747" s="121"/>
      <c r="B1747" s="23"/>
      <c r="C1747" s="24"/>
      <c r="D1747" s="24"/>
      <c r="E1747" s="24"/>
      <c r="F1747" s="24"/>
      <c r="G1747" s="90"/>
      <c r="H1747" s="23"/>
      <c r="I1747" s="24"/>
      <c r="J1747" s="24"/>
      <c r="K1747" s="24"/>
      <c r="L1747" s="24"/>
      <c r="M1747" s="25"/>
      <c r="N1747" s="25"/>
    </row>
    <row r="1748" spans="1:14" x14ac:dyDescent="0.25">
      <c r="A1748" s="121"/>
      <c r="B1748" s="23"/>
      <c r="C1748" s="24"/>
      <c r="D1748" s="24"/>
      <c r="E1748" s="24"/>
      <c r="F1748" s="24"/>
      <c r="G1748" s="90"/>
      <c r="H1748" s="23"/>
      <c r="I1748" s="24"/>
      <c r="J1748" s="24"/>
      <c r="K1748" s="24"/>
      <c r="L1748" s="24"/>
      <c r="M1748" s="25"/>
      <c r="N1748" s="25"/>
    </row>
    <row r="1749" spans="1:14" x14ac:dyDescent="0.25">
      <c r="A1749" s="121"/>
      <c r="B1749" s="23"/>
      <c r="C1749" s="24"/>
      <c r="D1749" s="24"/>
      <c r="E1749" s="24"/>
      <c r="F1749" s="24"/>
      <c r="G1749" s="90"/>
      <c r="H1749" s="26"/>
      <c r="I1749" s="27"/>
      <c r="J1749" s="27"/>
      <c r="K1749" s="27"/>
      <c r="L1749" s="27"/>
      <c r="M1749" s="28"/>
      <c r="N1749" s="25"/>
    </row>
    <row r="1750" spans="1:14" x14ac:dyDescent="0.25">
      <c r="A1750" s="121"/>
      <c r="B1750" s="26"/>
      <c r="C1750" s="85"/>
      <c r="D1750" s="27"/>
      <c r="E1750" s="27"/>
      <c r="F1750" s="27"/>
      <c r="G1750" s="91"/>
      <c r="H1750" s="27"/>
      <c r="I1750" s="27"/>
      <c r="J1750" s="27"/>
      <c r="K1750" s="27"/>
      <c r="L1750" s="27"/>
      <c r="M1750" s="27"/>
      <c r="N1750" s="28"/>
    </row>
    <row r="1751" spans="1:14" x14ac:dyDescent="0.25">
      <c r="A1751" s="121"/>
      <c r="B1751" s="23"/>
      <c r="C1751" s="24"/>
      <c r="D1751" s="24"/>
      <c r="E1751" s="24"/>
      <c r="F1751" s="24"/>
      <c r="G1751" s="24"/>
      <c r="H1751" s="24"/>
      <c r="I1751" s="24"/>
      <c r="J1751" s="24"/>
      <c r="K1751" s="24"/>
      <c r="L1751" s="24"/>
      <c r="M1751" s="24"/>
      <c r="N1751" s="25"/>
    </row>
    <row r="1752" spans="1:14" ht="23.25" x14ac:dyDescent="0.25">
      <c r="A1752" s="122" t="s">
        <v>134</v>
      </c>
      <c r="B1752" s="111"/>
      <c r="C1752" s="112"/>
      <c r="D1752" s="112"/>
      <c r="E1752" s="112"/>
      <c r="F1752" s="113"/>
      <c r="G1752" s="113"/>
      <c r="H1752" s="113"/>
      <c r="I1752" s="113"/>
      <c r="J1752" s="112"/>
      <c r="K1752" s="112"/>
      <c r="L1752" s="112"/>
      <c r="M1752" s="112"/>
      <c r="N1752" s="114"/>
    </row>
    <row r="1753" spans="1:14" x14ac:dyDescent="0.25">
      <c r="A1753" s="121"/>
      <c r="B1753" s="23"/>
      <c r="C1753" s="24"/>
      <c r="D1753" s="24"/>
      <c r="E1753" s="24"/>
      <c r="F1753" s="24"/>
      <c r="G1753" s="24"/>
      <c r="H1753" s="24"/>
      <c r="I1753" s="24"/>
      <c r="J1753" s="24"/>
      <c r="K1753" s="24"/>
      <c r="L1753" s="24"/>
      <c r="M1753" s="24"/>
      <c r="N1753" s="25"/>
    </row>
    <row r="1754" spans="1:14" ht="18.75" x14ac:dyDescent="0.25">
      <c r="A1754" s="121"/>
      <c r="B1754" s="683" t="s">
        <v>232</v>
      </c>
      <c r="C1754" s="684"/>
      <c r="D1754" s="684"/>
      <c r="E1754" s="684"/>
      <c r="F1754" s="684"/>
      <c r="G1754" s="684"/>
      <c r="H1754" s="684"/>
      <c r="I1754" s="684"/>
      <c r="J1754" s="684"/>
      <c r="K1754" s="684"/>
      <c r="L1754" s="684"/>
      <c r="M1754" s="684"/>
      <c r="N1754" s="685"/>
    </row>
    <row r="1755" spans="1:14" x14ac:dyDescent="0.25">
      <c r="A1755" s="121"/>
      <c r="B1755" s="23"/>
      <c r="C1755" s="24"/>
      <c r="D1755" s="24"/>
      <c r="E1755" s="24"/>
      <c r="F1755" s="31"/>
      <c r="G1755" s="87"/>
      <c r="H1755" s="31"/>
      <c r="I1755" s="31"/>
      <c r="J1755" s="24"/>
      <c r="K1755" s="24"/>
      <c r="L1755" s="24"/>
      <c r="M1755" s="24"/>
      <c r="N1755" s="25"/>
    </row>
    <row r="1756" spans="1:14" ht="15" x14ac:dyDescent="0.25">
      <c r="A1756" s="121"/>
      <c r="B1756" s="23"/>
      <c r="C1756" s="638" t="s">
        <v>37</v>
      </c>
      <c r="D1756" s="639"/>
      <c r="E1756" s="640"/>
      <c r="F1756" s="31"/>
      <c r="G1756" s="87"/>
      <c r="H1756" s="641" t="s">
        <v>28</v>
      </c>
      <c r="I1756" s="642"/>
      <c r="J1756" s="39">
        <f>+$D$1776-SUMIF($H$1762:$H$1772,"&lt;"&amp;$M$4,$K$1762:$K$1772)</f>
        <v>0</v>
      </c>
      <c r="K1756" s="24"/>
      <c r="L1756" s="24"/>
      <c r="M1756" s="24"/>
      <c r="N1756" s="25"/>
    </row>
    <row r="1757" spans="1:14" ht="15" x14ac:dyDescent="0.25">
      <c r="A1757" s="121"/>
      <c r="B1757" s="23"/>
      <c r="C1757" s="58"/>
      <c r="D1757" s="664"/>
      <c r="E1757" s="665"/>
      <c r="F1757" s="31"/>
      <c r="G1757" s="87"/>
      <c r="H1757" s="645" t="s">
        <v>29</v>
      </c>
      <c r="I1757" s="646"/>
      <c r="J1757" s="40">
        <f>+$D$1775</f>
        <v>44172</v>
      </c>
      <c r="K1757" s="24"/>
      <c r="L1757" s="24"/>
      <c r="M1757" s="24"/>
      <c r="N1757" s="25"/>
    </row>
    <row r="1758" spans="1:14" ht="15" x14ac:dyDescent="0.25">
      <c r="A1758" s="121"/>
      <c r="B1758" s="23"/>
      <c r="C1758" s="59" t="s">
        <v>25</v>
      </c>
      <c r="D1758" s="681"/>
      <c r="E1758" s="682"/>
      <c r="F1758" s="31"/>
      <c r="G1758" s="87"/>
      <c r="H1758" s="649" t="s">
        <v>30</v>
      </c>
      <c r="I1758" s="650"/>
      <c r="J1758" s="42" t="str">
        <f t="array" ref="J1758">+IF(H1771&gt;=M4,MIN(IF($H$1762:$H$1772&gt;$M$4,$H$1762:$H$1772,"")),"vencida")</f>
        <v>vencida</v>
      </c>
      <c r="K1758" s="24"/>
      <c r="L1758" s="24"/>
      <c r="M1758" s="24"/>
      <c r="N1758" s="25"/>
    </row>
    <row r="1759" spans="1:14" x14ac:dyDescent="0.25">
      <c r="A1759" s="121"/>
      <c r="B1759" s="23"/>
      <c r="C1759" s="59" t="s">
        <v>6</v>
      </c>
      <c r="D1759" s="681" t="s">
        <v>221</v>
      </c>
      <c r="E1759" s="682"/>
      <c r="F1759" s="31"/>
      <c r="G1759" s="87"/>
      <c r="H1759" s="24"/>
      <c r="I1759" s="24"/>
      <c r="J1759" s="24"/>
      <c r="K1759" s="24"/>
      <c r="L1759" s="24"/>
      <c r="M1759" s="24"/>
      <c r="N1759" s="25"/>
    </row>
    <row r="1760" spans="1:14" x14ac:dyDescent="0.25">
      <c r="A1760" s="121"/>
      <c r="B1760" s="23"/>
      <c r="C1760" s="59" t="s">
        <v>8</v>
      </c>
      <c r="D1760" s="681" t="s">
        <v>17</v>
      </c>
      <c r="E1760" s="682"/>
      <c r="F1760" s="31"/>
      <c r="G1760" s="87"/>
      <c r="H1760" s="651" t="s">
        <v>41</v>
      </c>
      <c r="I1760" s="652"/>
      <c r="J1760" s="652"/>
      <c r="K1760" s="652"/>
      <c r="L1760" s="653"/>
      <c r="M1760" s="24"/>
      <c r="N1760" s="25"/>
    </row>
    <row r="1761" spans="1:14" ht="15" x14ac:dyDescent="0.25">
      <c r="A1761" s="121"/>
      <c r="B1761" s="23"/>
      <c r="C1761" s="59" t="s">
        <v>33</v>
      </c>
      <c r="D1761" s="132" t="s">
        <v>309</v>
      </c>
      <c r="E1761" s="274">
        <v>1</v>
      </c>
      <c r="F1761" s="281">
        <f>+E1761*J1756</f>
        <v>0</v>
      </c>
      <c r="G1761" s="87"/>
      <c r="H1761" s="126" t="s">
        <v>0</v>
      </c>
      <c r="I1761" s="127" t="s">
        <v>2</v>
      </c>
      <c r="J1761" s="127" t="s">
        <v>3</v>
      </c>
      <c r="K1761" s="127" t="s">
        <v>4</v>
      </c>
      <c r="L1761" s="128" t="s">
        <v>5</v>
      </c>
      <c r="M1761" s="127" t="s">
        <v>44</v>
      </c>
      <c r="N1761" s="25"/>
    </row>
    <row r="1762" spans="1:14" x14ac:dyDescent="0.25">
      <c r="A1762" s="121"/>
      <c r="B1762" s="23"/>
      <c r="C1762" s="59" t="s">
        <v>34</v>
      </c>
      <c r="D1762" s="681" t="s">
        <v>48</v>
      </c>
      <c r="E1762" s="682"/>
      <c r="F1762" s="31"/>
      <c r="G1762" s="87"/>
      <c r="H1762" s="45"/>
      <c r="I1762" s="46"/>
      <c r="J1762" s="46"/>
      <c r="K1762" s="46"/>
      <c r="L1762" s="47"/>
      <c r="M1762" s="23"/>
      <c r="N1762" s="25"/>
    </row>
    <row r="1763" spans="1:14" ht="15" x14ac:dyDescent="0.25">
      <c r="A1763" s="121"/>
      <c r="B1763" s="23"/>
      <c r="C1763" s="79" t="s">
        <v>38</v>
      </c>
      <c r="D1763" s="130"/>
      <c r="E1763" s="131"/>
      <c r="F1763" s="31"/>
      <c r="G1763" s="87"/>
      <c r="H1763" s="48">
        <f>+$D$1774</f>
        <v>43441</v>
      </c>
      <c r="I1763" s="136"/>
      <c r="J1763" s="49"/>
      <c r="K1763" s="49"/>
      <c r="L1763" s="50">
        <f>+D1776</f>
        <v>200000</v>
      </c>
      <c r="M1763" s="93">
        <f>-L1763</f>
        <v>-200000</v>
      </c>
      <c r="N1763" s="25"/>
    </row>
    <row r="1764" spans="1:14" x14ac:dyDescent="0.25">
      <c r="A1764" s="121"/>
      <c r="B1764" s="23"/>
      <c r="C1764" s="59"/>
      <c r="D1764" s="132"/>
      <c r="E1764" s="133"/>
      <c r="F1764" s="31"/>
      <c r="G1764" s="87"/>
      <c r="H1764" s="51">
        <f>IF(DAY(H1763)=DAY($H$1763),IF(WEEKDAY(EDATE(H1763,$D$1777),3)&lt;5,EDATE(H1763,$D$1777),WORKDAY(EDATE(H1763,$D$1777),1)),IF(WEEKDAY(EDATE($H$1763,$D$1777*COUNT($H$1763:H1763)),3)&lt;5,EDATE($H$1763,$D$1777*COUNT($H$1763:H1763)),WORKDAY(EDATE($H$1763,$D$1777*COUNT($H$1763:H1763)),1)))</f>
        <v>43531</v>
      </c>
      <c r="I1764" s="137" t="s">
        <v>13</v>
      </c>
      <c r="J1764" s="52">
        <f t="shared" ref="J1764:J1771" si="165">+(($D$1779/365)*(H1764-H1763))*L1763</f>
        <v>4808.2191780821913</v>
      </c>
      <c r="K1764" s="52">
        <f>+IF(OR(I1764="A + C",I1764="A"),$L$1763*$D$1780,0)</f>
        <v>25000</v>
      </c>
      <c r="L1764" s="53">
        <f t="shared" ref="L1764:L1771" si="166">+L1763-K1764</f>
        <v>175000</v>
      </c>
      <c r="M1764" s="94">
        <f t="shared" ref="M1764:M1771" si="167">+J1764+K1764</f>
        <v>29808.219178082192</v>
      </c>
      <c r="N1764" s="25"/>
    </row>
    <row r="1765" spans="1:14" x14ac:dyDescent="0.25">
      <c r="A1765" s="121"/>
      <c r="B1765" s="23"/>
      <c r="C1765" s="60"/>
      <c r="D1765" s="134"/>
      <c r="E1765" s="135"/>
      <c r="F1765" s="34"/>
      <c r="G1765" s="88"/>
      <c r="H1765" s="51">
        <f>IF(DAY(H1764)=DAY($H$1763),IF(WEEKDAY(EDATE(H1764,$D$1777),3)&lt;5,EDATE(H1764,$D$1777),WORKDAY(EDATE(H1764,$D$1777),1)),IF(WEEKDAY(EDATE($H$1763,$D$1777*COUNT($H$1763:H1764)),3)&lt;5,EDATE($H$1763,$D$1777*COUNT($H$1763:H1764)),WORKDAY(EDATE($H$1763,$D$1777*COUNT($H$1763:H1764)),1)))</f>
        <v>43623</v>
      </c>
      <c r="I1765" s="137" t="s">
        <v>13</v>
      </c>
      <c r="J1765" s="52">
        <f t="shared" si="165"/>
        <v>4300.6849315068494</v>
      </c>
      <c r="K1765" s="52">
        <f t="shared" ref="K1765:K1771" si="168">+IF(OR(I1765="A + C",I1765="A"),$D$1776*$D$1780,0)</f>
        <v>25000</v>
      </c>
      <c r="L1765" s="53">
        <f t="shared" si="166"/>
        <v>150000</v>
      </c>
      <c r="M1765" s="94">
        <f t="shared" si="167"/>
        <v>29300.68493150685</v>
      </c>
      <c r="N1765" s="25"/>
    </row>
    <row r="1766" spans="1:14" x14ac:dyDescent="0.25">
      <c r="A1766" s="121"/>
      <c r="B1766" s="23"/>
      <c r="C1766" s="60"/>
      <c r="D1766" s="55" t="str">
        <f>B1754</f>
        <v>Tanta Argentina I</v>
      </c>
      <c r="E1766" s="64"/>
      <c r="F1766" s="34"/>
      <c r="G1766" s="88">
        <f>J1756</f>
        <v>0</v>
      </c>
      <c r="H1766" s="51">
        <f>IF(DAY(H1765)=DAY($H$1763),IF(WEEKDAY(EDATE(H1765,$D$1777),3)&lt;5,EDATE(H1765,$D$1777),WORKDAY(EDATE(H1765,$D$1777),1)),IF(WEEKDAY(EDATE($H$1763,$D$1777*COUNT($H$1763:H1765)),3)&lt;5,EDATE($H$1763,$D$1777*COUNT($H$1763:H1765)),WORKDAY(EDATE($H$1763,$D$1777*COUNT($H$1763:H1765)),1)))</f>
        <v>43717</v>
      </c>
      <c r="I1766" s="137" t="s">
        <v>13</v>
      </c>
      <c r="J1766" s="52">
        <f t="shared" si="165"/>
        <v>3766.438356164384</v>
      </c>
      <c r="K1766" s="52">
        <f t="shared" si="168"/>
        <v>25000</v>
      </c>
      <c r="L1766" s="53">
        <f t="shared" si="166"/>
        <v>125000</v>
      </c>
      <c r="M1766" s="94">
        <f t="shared" si="167"/>
        <v>28766.438356164384</v>
      </c>
      <c r="N1766" s="25"/>
    </row>
    <row r="1767" spans="1:14" x14ac:dyDescent="0.25">
      <c r="A1767" s="121"/>
      <c r="B1767" s="32"/>
      <c r="D1767" s="644"/>
      <c r="E1767" s="660"/>
      <c r="F1767" s="34"/>
      <c r="G1767" s="88"/>
      <c r="H1767" s="51">
        <f>IF(DAY(H1766)=DAY($H$1763),IF(WEEKDAY(EDATE(H1766,$D$1777),3)&lt;5,EDATE(H1766,$D$1777),WORKDAY(EDATE(H1766,$D$1777),1)),IF(WEEKDAY(EDATE($H$1763,$D$1777*COUNT($H$1763:H1766)),3)&lt;5,EDATE($H$1763,$D$1777*COUNT($H$1763:H1766)),WORKDAY(EDATE($H$1763,$D$1777*COUNT($H$1763:H1766)),1)))</f>
        <v>43808</v>
      </c>
      <c r="I1767" s="137" t="s">
        <v>13</v>
      </c>
      <c r="J1767" s="52">
        <f t="shared" si="165"/>
        <v>3038.527397260274</v>
      </c>
      <c r="K1767" s="52">
        <f t="shared" si="168"/>
        <v>25000</v>
      </c>
      <c r="L1767" s="53">
        <f t="shared" si="166"/>
        <v>100000</v>
      </c>
      <c r="M1767" s="94">
        <f t="shared" si="167"/>
        <v>28038.527397260274</v>
      </c>
      <c r="N1767" s="25"/>
    </row>
    <row r="1768" spans="1:14" ht="15" x14ac:dyDescent="0.25">
      <c r="A1768" s="121"/>
      <c r="B1768" s="23"/>
      <c r="C1768" s="638" t="s">
        <v>36</v>
      </c>
      <c r="D1768" s="640"/>
      <c r="E1768" s="36"/>
      <c r="F1768" s="34"/>
      <c r="G1768" s="88"/>
      <c r="H1768" s="51">
        <f>IF(DAY(H1767)=DAY($H$1763),IF(WEEKDAY(EDATE(H1767,$D$1777),3)&lt;5,EDATE(H1767,$D$1777),WORKDAY(EDATE(H1767,$D$1777),1)),IF(WEEKDAY(EDATE($H$1763,$D$1777*COUNT($H$1763:H1767)),3)&lt;5,EDATE($H$1763,$D$1777*COUNT($H$1763:H1767)),WORKDAY(EDATE($H$1763,$D$1777*COUNT($H$1763:H1767)),1)))</f>
        <v>43899</v>
      </c>
      <c r="I1768" s="137" t="s">
        <v>13</v>
      </c>
      <c r="J1768" s="52">
        <f t="shared" si="165"/>
        <v>2430.8219178082195</v>
      </c>
      <c r="K1768" s="52">
        <f t="shared" si="168"/>
        <v>25000</v>
      </c>
      <c r="L1768" s="53">
        <f t="shared" si="166"/>
        <v>75000</v>
      </c>
      <c r="M1768" s="94">
        <f t="shared" si="167"/>
        <v>27430.821917808218</v>
      </c>
      <c r="N1768" s="25"/>
    </row>
    <row r="1769" spans="1:14" x14ac:dyDescent="0.25">
      <c r="A1769" s="121"/>
      <c r="B1769" s="23"/>
      <c r="C1769" s="59"/>
      <c r="D1769" s="62"/>
      <c r="E1769" s="36"/>
      <c r="F1769" s="36"/>
      <c r="G1769" s="89"/>
      <c r="H1769" s="51">
        <f>IF(DAY(H1768)=DAY($H$1763),IF(WEEKDAY(EDATE(H1768,$D$1777),3)&lt;5,EDATE(H1768,$D$1777),WORKDAY(EDATE(H1768,$D$1777),1)),IF(WEEKDAY(EDATE($H$1763,$D$1777*COUNT($H$1763:H1768)),3)&lt;5,EDATE($H$1763,$D$1777*COUNT($H$1763:H1768)),WORKDAY(EDATE($H$1763,$D$1777*COUNT($H$1763:H1768)),1)))</f>
        <v>43990</v>
      </c>
      <c r="I1769" s="137" t="s">
        <v>13</v>
      </c>
      <c r="J1769" s="52">
        <f t="shared" si="165"/>
        <v>1823.1164383561645</v>
      </c>
      <c r="K1769" s="52">
        <f t="shared" si="168"/>
        <v>25000</v>
      </c>
      <c r="L1769" s="53">
        <f t="shared" si="166"/>
        <v>50000</v>
      </c>
      <c r="M1769" s="94">
        <f t="shared" si="167"/>
        <v>26823.116438356163</v>
      </c>
      <c r="N1769" s="25"/>
    </row>
    <row r="1770" spans="1:14" x14ac:dyDescent="0.25">
      <c r="A1770" s="121"/>
      <c r="B1770" s="23"/>
      <c r="C1770" s="59" t="s">
        <v>9</v>
      </c>
      <c r="D1770" s="129" t="s">
        <v>49</v>
      </c>
      <c r="E1770" s="36"/>
      <c r="F1770" s="36"/>
      <c r="G1770" s="89"/>
      <c r="H1770" s="51">
        <f>IF(DAY(H1769)=DAY($H$1763),IF(WEEKDAY(EDATE(H1769,$D$1777),3)&lt;5,EDATE(H1769,$D$1777),WORKDAY(EDATE(H1769,$D$1777),1)),IF(WEEKDAY(EDATE($H$1763,$D$1777*COUNT($H$1763:H1769)),3)&lt;5,EDATE($H$1763,$D$1777*COUNT($H$1763:H1769)),WORKDAY(EDATE($H$1763,$D$1777*COUNT($H$1763:H1769)),1)))</f>
        <v>44081</v>
      </c>
      <c r="I1770" s="137" t="s">
        <v>13</v>
      </c>
      <c r="J1770" s="52">
        <f t="shared" si="165"/>
        <v>1215.4109589041097</v>
      </c>
      <c r="K1770" s="52">
        <f t="shared" si="168"/>
        <v>25000</v>
      </c>
      <c r="L1770" s="53">
        <f t="shared" si="166"/>
        <v>25000</v>
      </c>
      <c r="M1770" s="94">
        <f t="shared" si="167"/>
        <v>26215.410958904111</v>
      </c>
      <c r="N1770" s="25"/>
    </row>
    <row r="1771" spans="1:14" x14ac:dyDescent="0.25">
      <c r="A1771" s="121"/>
      <c r="B1771" s="23"/>
      <c r="C1771" s="59" t="s">
        <v>51</v>
      </c>
      <c r="D1771" s="138" t="s">
        <v>18</v>
      </c>
      <c r="E1771" s="36"/>
      <c r="F1771" s="36"/>
      <c r="G1771" s="89"/>
      <c r="H1771" s="51">
        <f>IF(DAY(H1770)=DAY($H$1763),IF(WEEKDAY(EDATE(H1770,$D$1777),3)&lt;5,EDATE(H1770,$D$1777),WORKDAY(EDATE(H1770,$D$1777),1)),IF(WEEKDAY(EDATE($H$1763,$D$1777*COUNT($H$1763:H1770)),3)&lt;5,EDATE($H$1763,$D$1777*COUNT($H$1763:H1770)),WORKDAY(EDATE($H$1763,$D$1777*COUNT($H$1763:H1770)),1)))</f>
        <v>44172</v>
      </c>
      <c r="I1771" s="137" t="s">
        <v>13</v>
      </c>
      <c r="J1771" s="52">
        <f t="shared" si="165"/>
        <v>607.70547945205487</v>
      </c>
      <c r="K1771" s="52">
        <f t="shared" si="168"/>
        <v>25000</v>
      </c>
      <c r="L1771" s="53">
        <f t="shared" si="166"/>
        <v>0</v>
      </c>
      <c r="M1771" s="94">
        <f t="shared" si="167"/>
        <v>25607.705479452055</v>
      </c>
      <c r="N1771" s="25"/>
    </row>
    <row r="1772" spans="1:14" x14ac:dyDescent="0.25">
      <c r="A1772" s="121"/>
      <c r="B1772" s="23"/>
      <c r="C1772" s="59" t="s">
        <v>52</v>
      </c>
      <c r="D1772" s="138" t="s">
        <v>18</v>
      </c>
      <c r="E1772" s="36"/>
      <c r="F1772" s="36"/>
      <c r="G1772" s="89"/>
      <c r="H1772" s="54"/>
      <c r="I1772" s="144"/>
      <c r="J1772" s="55"/>
      <c r="K1772" s="56"/>
      <c r="L1772" s="57"/>
      <c r="M1772" s="95"/>
      <c r="N1772" s="25"/>
    </row>
    <row r="1773" spans="1:14" x14ac:dyDescent="0.25">
      <c r="A1773" s="121"/>
      <c r="B1773" s="23"/>
      <c r="C1773" s="59" t="s">
        <v>10</v>
      </c>
      <c r="D1773" s="139">
        <v>43438</v>
      </c>
      <c r="E1773" s="36"/>
      <c r="F1773" s="36"/>
      <c r="G1773" s="89"/>
      <c r="H1773" s="24"/>
      <c r="I1773" s="24"/>
      <c r="J1773" s="24"/>
      <c r="K1773" s="24"/>
      <c r="L1773" s="24"/>
      <c r="M1773" s="24"/>
      <c r="N1773" s="25"/>
    </row>
    <row r="1774" spans="1:14" ht="15" x14ac:dyDescent="0.25">
      <c r="A1774" s="121"/>
      <c r="B1774" s="23"/>
      <c r="C1774" s="59" t="s">
        <v>11</v>
      </c>
      <c r="D1774" s="139">
        <v>43441</v>
      </c>
      <c r="E1774" s="41"/>
      <c r="F1774" s="24"/>
      <c r="G1774" s="89"/>
      <c r="H1774" s="680" t="s">
        <v>43</v>
      </c>
      <c r="I1774" s="680"/>
      <c r="J1774" s="92">
        <v>0</v>
      </c>
      <c r="K1774" s="92"/>
      <c r="L1774" s="24"/>
      <c r="M1774" s="24"/>
      <c r="N1774" s="25"/>
    </row>
    <row r="1775" spans="1:14" x14ac:dyDescent="0.25">
      <c r="A1775" s="121"/>
      <c r="B1775" s="23"/>
      <c r="C1775" s="59" t="s">
        <v>12</v>
      </c>
      <c r="D1775" s="139">
        <v>44172</v>
      </c>
      <c r="E1775" s="36"/>
      <c r="F1775" s="24"/>
      <c r="G1775" s="89"/>
      <c r="H1775" s="24"/>
      <c r="I1775" s="24"/>
      <c r="J1775" s="392"/>
      <c r="K1775" s="24"/>
      <c r="L1775" s="33"/>
      <c r="M1775" s="33"/>
      <c r="N1775" s="25"/>
    </row>
    <row r="1776" spans="1:14" x14ac:dyDescent="0.25">
      <c r="A1776" s="121"/>
      <c r="B1776" s="23"/>
      <c r="C1776" s="59" t="s">
        <v>27</v>
      </c>
      <c r="D1776" s="140">
        <v>200000</v>
      </c>
      <c r="E1776" s="43"/>
      <c r="F1776" s="24"/>
      <c r="G1776" s="90"/>
      <c r="H1776" s="24"/>
      <c r="I1776" s="24"/>
      <c r="J1776" s="24"/>
      <c r="K1776" s="24"/>
      <c r="L1776" s="24"/>
      <c r="M1776" s="24"/>
      <c r="N1776" s="25"/>
    </row>
    <row r="1777" spans="1:14" ht="15" x14ac:dyDescent="0.25">
      <c r="A1777" s="121"/>
      <c r="B1777" s="23"/>
      <c r="C1777" s="59" t="s">
        <v>26</v>
      </c>
      <c r="D1777" s="140">
        <v>3</v>
      </c>
      <c r="E1777" s="43"/>
      <c r="F1777" s="24"/>
      <c r="G1777" s="90"/>
      <c r="H1777" s="638" t="s">
        <v>44</v>
      </c>
      <c r="I1777" s="639"/>
      <c r="J1777" s="639"/>
      <c r="K1777" s="639"/>
      <c r="L1777" s="639"/>
      <c r="M1777" s="640"/>
      <c r="N1777" s="25"/>
    </row>
    <row r="1778" spans="1:14" x14ac:dyDescent="0.25">
      <c r="A1778" s="121"/>
      <c r="B1778" s="23"/>
      <c r="C1778" s="59" t="s">
        <v>19</v>
      </c>
      <c r="D1778" s="141" t="s">
        <v>50</v>
      </c>
      <c r="E1778" s="43"/>
      <c r="F1778" s="24"/>
      <c r="G1778" s="90"/>
      <c r="H1778" s="23"/>
      <c r="I1778" s="24"/>
      <c r="J1778" s="24"/>
      <c r="K1778" s="24"/>
      <c r="L1778" s="24"/>
      <c r="M1778" s="25"/>
      <c r="N1778" s="25"/>
    </row>
    <row r="1779" spans="1:14" x14ac:dyDescent="0.25">
      <c r="A1779" s="121"/>
      <c r="B1779" s="23"/>
      <c r="C1779" s="59" t="s">
        <v>14</v>
      </c>
      <c r="D1779" s="142">
        <v>9.7500000000000003E-2</v>
      </c>
      <c r="E1779" s="44"/>
      <c r="F1779" s="24"/>
      <c r="G1779" s="90"/>
      <c r="H1779" s="23"/>
      <c r="I1779" s="24"/>
      <c r="J1779" s="24"/>
      <c r="K1779" s="24"/>
      <c r="L1779" s="24"/>
      <c r="M1779" s="25"/>
      <c r="N1779" s="25"/>
    </row>
    <row r="1780" spans="1:14" x14ac:dyDescent="0.25">
      <c r="A1780" s="121"/>
      <c r="B1780" s="23"/>
      <c r="C1780" s="59" t="s">
        <v>78</v>
      </c>
      <c r="D1780" s="151">
        <v>0.125</v>
      </c>
      <c r="E1780" s="24"/>
      <c r="F1780" s="24"/>
      <c r="G1780" s="90"/>
      <c r="H1780" s="96"/>
      <c r="I1780" s="35"/>
      <c r="J1780" s="24"/>
      <c r="K1780" s="24"/>
      <c r="L1780" s="24"/>
      <c r="M1780" s="25"/>
      <c r="N1780" s="25"/>
    </row>
    <row r="1781" spans="1:14" x14ac:dyDescent="0.25">
      <c r="A1781" s="121"/>
      <c r="B1781" s="23"/>
      <c r="C1781" s="63"/>
      <c r="D1781" s="145"/>
      <c r="E1781" s="24"/>
      <c r="F1781" s="24"/>
      <c r="G1781" s="90"/>
      <c r="H1781" s="23"/>
      <c r="I1781" s="24"/>
      <c r="J1781" s="24"/>
      <c r="K1781" s="24"/>
      <c r="L1781" s="24"/>
      <c r="M1781" s="25"/>
      <c r="N1781" s="25"/>
    </row>
    <row r="1782" spans="1:14" x14ac:dyDescent="0.25">
      <c r="A1782" s="121"/>
      <c r="B1782" s="23"/>
      <c r="C1782" s="24"/>
      <c r="D1782" s="24"/>
      <c r="E1782" s="24"/>
      <c r="F1782" s="24"/>
      <c r="G1782" s="90"/>
      <c r="H1782" s="23"/>
      <c r="I1782" s="24"/>
      <c r="J1782" s="24"/>
      <c r="K1782" s="24"/>
      <c r="L1782" s="24"/>
      <c r="M1782" s="25"/>
      <c r="N1782" s="25"/>
    </row>
    <row r="1783" spans="1:14" x14ac:dyDescent="0.25">
      <c r="A1783" s="121"/>
      <c r="B1783" s="23"/>
      <c r="C1783" s="24"/>
      <c r="D1783" s="24"/>
      <c r="E1783" s="24"/>
      <c r="F1783" s="24"/>
      <c r="G1783" s="90"/>
      <c r="H1783" s="23"/>
      <c r="I1783" s="24"/>
      <c r="J1783" s="24"/>
      <c r="K1783" s="24"/>
      <c r="L1783" s="24"/>
      <c r="M1783" s="25"/>
      <c r="N1783" s="25"/>
    </row>
    <row r="1784" spans="1:14" x14ac:dyDescent="0.25">
      <c r="A1784" s="121"/>
      <c r="B1784" s="23"/>
      <c r="C1784" s="24"/>
      <c r="D1784" s="24"/>
      <c r="E1784" s="24"/>
      <c r="F1784" s="24"/>
      <c r="G1784" s="90"/>
      <c r="H1784" s="23"/>
      <c r="I1784" s="24"/>
      <c r="J1784" s="24"/>
      <c r="K1784" s="24"/>
      <c r="L1784" s="24"/>
      <c r="M1784" s="25"/>
      <c r="N1784" s="25"/>
    </row>
    <row r="1785" spans="1:14" x14ac:dyDescent="0.25">
      <c r="A1785" s="121"/>
      <c r="B1785" s="23"/>
      <c r="C1785" s="24"/>
      <c r="D1785" s="24"/>
      <c r="E1785" s="24"/>
      <c r="F1785" s="24"/>
      <c r="G1785" s="90"/>
      <c r="H1785" s="23"/>
      <c r="I1785" s="24"/>
      <c r="J1785" s="24"/>
      <c r="K1785" s="24"/>
      <c r="L1785" s="24"/>
      <c r="M1785" s="25"/>
      <c r="N1785" s="25"/>
    </row>
    <row r="1786" spans="1:14" x14ac:dyDescent="0.25">
      <c r="A1786" s="121"/>
      <c r="B1786" s="23"/>
      <c r="C1786" s="24"/>
      <c r="D1786" s="24"/>
      <c r="E1786" s="24"/>
      <c r="F1786" s="24"/>
      <c r="G1786" s="90"/>
      <c r="H1786" s="23"/>
      <c r="I1786" s="24"/>
      <c r="J1786" s="24"/>
      <c r="K1786" s="24"/>
      <c r="L1786" s="24"/>
      <c r="M1786" s="25"/>
      <c r="N1786" s="25"/>
    </row>
    <row r="1787" spans="1:14" x14ac:dyDescent="0.25">
      <c r="A1787" s="121"/>
      <c r="B1787" s="23"/>
      <c r="C1787" s="24"/>
      <c r="D1787" s="24"/>
      <c r="E1787" s="24"/>
      <c r="F1787" s="24"/>
      <c r="G1787" s="90"/>
      <c r="H1787" s="23"/>
      <c r="I1787" s="24"/>
      <c r="J1787" s="24"/>
      <c r="K1787" s="24"/>
      <c r="L1787" s="24"/>
      <c r="M1787" s="25"/>
      <c r="N1787" s="25"/>
    </row>
    <row r="1788" spans="1:14" x14ac:dyDescent="0.25">
      <c r="A1788" s="121"/>
      <c r="B1788" s="23"/>
      <c r="C1788" s="24"/>
      <c r="D1788" s="24"/>
      <c r="E1788" s="24"/>
      <c r="F1788" s="24"/>
      <c r="G1788" s="90"/>
      <c r="H1788" s="23"/>
      <c r="I1788" s="24"/>
      <c r="J1788" s="24"/>
      <c r="K1788" s="24"/>
      <c r="L1788" s="24"/>
      <c r="M1788" s="25"/>
      <c r="N1788" s="25"/>
    </row>
    <row r="1789" spans="1:14" x14ac:dyDescent="0.25">
      <c r="A1789" s="121"/>
      <c r="B1789" s="23"/>
      <c r="C1789" s="24"/>
      <c r="D1789" s="24"/>
      <c r="E1789" s="24"/>
      <c r="F1789" s="24"/>
      <c r="G1789" s="90"/>
      <c r="H1789" s="26"/>
      <c r="I1789" s="27"/>
      <c r="J1789" s="27"/>
      <c r="K1789" s="27"/>
      <c r="L1789" s="27"/>
      <c r="M1789" s="28"/>
      <c r="N1789" s="25"/>
    </row>
    <row r="1790" spans="1:14" x14ac:dyDescent="0.25">
      <c r="A1790" s="121"/>
      <c r="B1790" s="26"/>
      <c r="C1790" s="85"/>
      <c r="D1790" s="27"/>
      <c r="E1790" s="27"/>
      <c r="F1790" s="27"/>
      <c r="G1790" s="91"/>
      <c r="H1790" s="27"/>
      <c r="I1790" s="27"/>
      <c r="J1790" s="27"/>
      <c r="K1790" s="27"/>
      <c r="L1790" s="27"/>
      <c r="M1790" s="27"/>
      <c r="N1790" s="28"/>
    </row>
    <row r="1791" spans="1:14" x14ac:dyDescent="0.25">
      <c r="A1791" s="121"/>
      <c r="B1791" s="23"/>
      <c r="C1791" s="24"/>
      <c r="D1791" s="24"/>
      <c r="E1791" s="24"/>
      <c r="F1791" s="24"/>
      <c r="G1791" s="24"/>
      <c r="H1791" s="24"/>
      <c r="I1791" s="24"/>
      <c r="J1791" s="24"/>
      <c r="K1791" s="24"/>
      <c r="L1791" s="24"/>
      <c r="M1791" s="24"/>
      <c r="N1791" s="25"/>
    </row>
    <row r="1792" spans="1:14" ht="18.75" x14ac:dyDescent="0.25">
      <c r="A1792" s="121"/>
      <c r="B1792" s="683" t="s">
        <v>46</v>
      </c>
      <c r="C1792" s="684"/>
      <c r="D1792" s="684"/>
      <c r="E1792" s="684"/>
      <c r="F1792" s="684"/>
      <c r="G1792" s="684"/>
      <c r="H1792" s="684"/>
      <c r="I1792" s="684"/>
      <c r="J1792" s="684"/>
      <c r="K1792" s="684"/>
      <c r="L1792" s="684"/>
      <c r="M1792" s="684"/>
      <c r="N1792" s="685"/>
    </row>
    <row r="1793" spans="1:14" x14ac:dyDescent="0.25">
      <c r="A1793" s="121"/>
      <c r="B1793" s="23"/>
      <c r="C1793" s="24"/>
      <c r="D1793" s="24"/>
      <c r="E1793" s="24"/>
      <c r="F1793" s="31"/>
      <c r="G1793" s="87"/>
      <c r="H1793" s="31"/>
      <c r="I1793" s="31"/>
      <c r="J1793" s="24"/>
      <c r="K1793" s="24"/>
      <c r="L1793" s="24"/>
      <c r="M1793" s="24"/>
      <c r="N1793" s="25"/>
    </row>
    <row r="1794" spans="1:14" ht="15" x14ac:dyDescent="0.25">
      <c r="A1794" s="121"/>
      <c r="B1794" s="23"/>
      <c r="C1794" s="638" t="s">
        <v>37</v>
      </c>
      <c r="D1794" s="639"/>
      <c r="E1794" s="640"/>
      <c r="F1794" s="31"/>
      <c r="G1794" s="87"/>
      <c r="H1794" s="641" t="s">
        <v>28</v>
      </c>
      <c r="I1794" s="642"/>
      <c r="J1794" s="39">
        <f>+$D$1817-SUMIF($H$1800:$H$1808,"&lt;"&amp;$M$4,$K$1800:$K$1808)</f>
        <v>0</v>
      </c>
      <c r="K1794" s="24"/>
      <c r="L1794" s="24"/>
      <c r="M1794" s="24"/>
      <c r="N1794" s="25"/>
    </row>
    <row r="1795" spans="1:14" ht="15" x14ac:dyDescent="0.25">
      <c r="A1795" s="121"/>
      <c r="B1795" s="23"/>
      <c r="C1795" s="58"/>
      <c r="D1795" s="664"/>
      <c r="E1795" s="665"/>
      <c r="F1795" s="31"/>
      <c r="G1795" s="87"/>
      <c r="H1795" s="645" t="s">
        <v>29</v>
      </c>
      <c r="I1795" s="646"/>
      <c r="J1795" s="40">
        <f>+$D$1816</f>
        <v>44313</v>
      </c>
      <c r="K1795" s="24"/>
      <c r="L1795" s="24"/>
      <c r="M1795" s="24"/>
      <c r="N1795" s="25"/>
    </row>
    <row r="1796" spans="1:14" ht="15" x14ac:dyDescent="0.25">
      <c r="A1796" s="121"/>
      <c r="B1796" s="23"/>
      <c r="C1796" s="59" t="s">
        <v>25</v>
      </c>
      <c r="D1796" s="681"/>
      <c r="E1796" s="682"/>
      <c r="F1796" s="31"/>
      <c r="G1796" s="87"/>
      <c r="H1796" s="649" t="s">
        <v>30</v>
      </c>
      <c r="I1796" s="650"/>
      <c r="J1796" s="42" t="str">
        <f t="array" ref="J1796">+IF(H1807&gt;=M4,MIN(IF($H$1800:$H$1808&gt;$M$4,$H$1800:$H$1808,"")),"vencida")</f>
        <v>vencida</v>
      </c>
      <c r="K1796" s="24"/>
      <c r="L1796" s="24"/>
      <c r="M1796" s="24"/>
      <c r="N1796" s="25"/>
    </row>
    <row r="1797" spans="1:14" x14ac:dyDescent="0.25">
      <c r="A1797" s="121"/>
      <c r="B1797" s="23"/>
      <c r="C1797" s="59" t="s">
        <v>6</v>
      </c>
      <c r="D1797" s="681" t="s">
        <v>47</v>
      </c>
      <c r="E1797" s="682"/>
      <c r="F1797" s="31"/>
      <c r="G1797" s="87"/>
      <c r="H1797" s="24"/>
      <c r="I1797" s="24"/>
      <c r="J1797" s="24"/>
      <c r="K1797" s="24"/>
      <c r="L1797" s="24"/>
      <c r="M1797" s="24"/>
      <c r="N1797" s="25"/>
    </row>
    <row r="1798" spans="1:14" x14ac:dyDescent="0.25">
      <c r="A1798" s="121"/>
      <c r="B1798" s="23"/>
      <c r="C1798" s="59" t="s">
        <v>8</v>
      </c>
      <c r="D1798" s="681" t="s">
        <v>17</v>
      </c>
      <c r="E1798" s="682"/>
      <c r="F1798" s="31"/>
      <c r="G1798" s="87"/>
      <c r="H1798" s="651" t="s">
        <v>41</v>
      </c>
      <c r="I1798" s="652"/>
      <c r="J1798" s="652"/>
      <c r="K1798" s="652"/>
      <c r="L1798" s="653"/>
      <c r="M1798" s="24"/>
      <c r="N1798" s="25"/>
    </row>
    <row r="1799" spans="1:14" ht="15" x14ac:dyDescent="0.25">
      <c r="A1799" s="121"/>
      <c r="B1799" s="23"/>
      <c r="C1799" s="59" t="s">
        <v>33</v>
      </c>
      <c r="D1799" s="132" t="s">
        <v>289</v>
      </c>
      <c r="E1799" s="274">
        <v>0.25</v>
      </c>
      <c r="F1799" s="281">
        <f>+E1799*$J$1794</f>
        <v>0</v>
      </c>
      <c r="G1799" s="87"/>
      <c r="H1799" s="126" t="s">
        <v>0</v>
      </c>
      <c r="I1799" s="127" t="s">
        <v>2</v>
      </c>
      <c r="J1799" s="127" t="s">
        <v>3</v>
      </c>
      <c r="K1799" s="127" t="s">
        <v>4</v>
      </c>
      <c r="L1799" s="128" t="s">
        <v>5</v>
      </c>
      <c r="M1799" s="127" t="s">
        <v>44</v>
      </c>
      <c r="N1799" s="25"/>
    </row>
    <row r="1800" spans="1:14" x14ac:dyDescent="0.25">
      <c r="A1800" s="121"/>
      <c r="B1800" s="23"/>
      <c r="C1800" s="278" t="s">
        <v>33</v>
      </c>
      <c r="D1800" s="132" t="s">
        <v>297</v>
      </c>
      <c r="E1800" s="274">
        <v>0.25</v>
      </c>
      <c r="F1800" s="281">
        <f>+E1800*$J$1794</f>
        <v>0</v>
      </c>
      <c r="G1800" s="87"/>
      <c r="H1800" s="45"/>
      <c r="I1800" s="46"/>
      <c r="J1800" s="46"/>
      <c r="K1800" s="46"/>
      <c r="L1800" s="47"/>
      <c r="M1800" s="23"/>
      <c r="N1800" s="25"/>
    </row>
    <row r="1801" spans="1:14" x14ac:dyDescent="0.25">
      <c r="A1801" s="121"/>
      <c r="B1801" s="23"/>
      <c r="C1801" s="278" t="s">
        <v>33</v>
      </c>
      <c r="D1801" s="132" t="s">
        <v>308</v>
      </c>
      <c r="E1801" s="274">
        <v>0.25</v>
      </c>
      <c r="F1801" s="281">
        <f>+E1801*$J$1794</f>
        <v>0</v>
      </c>
      <c r="G1801" s="87"/>
      <c r="H1801" s="48">
        <f>+$D$1815</f>
        <v>43217</v>
      </c>
      <c r="I1801" s="136"/>
      <c r="J1801" s="49"/>
      <c r="K1801" s="49"/>
      <c r="L1801" s="50">
        <f>+D1817</f>
        <v>800000</v>
      </c>
      <c r="M1801" s="93">
        <f>-L1801</f>
        <v>-800000</v>
      </c>
      <c r="N1801" s="25"/>
    </row>
    <row r="1802" spans="1:14" x14ac:dyDescent="0.25">
      <c r="A1802" s="121"/>
      <c r="B1802" s="23"/>
      <c r="C1802" s="278" t="s">
        <v>33</v>
      </c>
      <c r="D1802" s="132" t="s">
        <v>309</v>
      </c>
      <c r="E1802" s="274">
        <v>0.25</v>
      </c>
      <c r="F1802" s="281">
        <f>+E1802*$J$1794</f>
        <v>0</v>
      </c>
      <c r="G1802" s="87"/>
      <c r="H1802" s="51">
        <f>IF(DAY(H1801)=DAY($H$1801),IF(WEEKDAY(EDATE(H1801,$D$1818),3)&lt;5,EDATE(H1801,$D$1818),WORKDAY(EDATE(H1801,$D$1818),1)),IF(WEEKDAY(EDATE($H$1801,$D$1818*COUNT($H$1801:H1801)),3)&lt;5,EDATE($H$1801,$D$1818*COUNT($H$1801:H1801)),WORKDAY(EDATE($H$1801,$D$1818*COUNT($H$1801:H1801)),1)))</f>
        <v>43402</v>
      </c>
      <c r="I1802" s="137" t="s">
        <v>7</v>
      </c>
      <c r="J1802" s="52">
        <f t="shared" ref="J1802:J1807" si="169">+(($D$1820/365)*(H1802-H1801))*L1801</f>
        <v>34465.753424657538</v>
      </c>
      <c r="K1802" s="52">
        <f>+IF(OR(I1802="A + C",I1802="A"),$L$1801*$D$1821,0)</f>
        <v>0</v>
      </c>
      <c r="L1802" s="53">
        <f t="shared" ref="L1802:L1807" si="170">+L1801-K1802</f>
        <v>800000</v>
      </c>
      <c r="M1802" s="94">
        <f t="shared" ref="M1802:M1807" si="171">+J1802+K1802</f>
        <v>34465.753424657538</v>
      </c>
      <c r="N1802" s="25"/>
    </row>
    <row r="1803" spans="1:14" x14ac:dyDescent="0.25">
      <c r="A1803" s="121"/>
      <c r="B1803" s="23"/>
      <c r="C1803" s="59" t="s">
        <v>34</v>
      </c>
      <c r="D1803" s="681" t="s">
        <v>48</v>
      </c>
      <c r="E1803" s="682"/>
      <c r="F1803" s="34"/>
      <c r="G1803" s="88"/>
      <c r="H1803" s="51">
        <f>IF(DAY(H1802)=DAY($H$1801),IF(WEEKDAY(EDATE(H1802,$D$1818),3)&lt;5,EDATE(H1802,$D$1818),WORKDAY(EDATE(H1802,$D$1818),1)),IF(WEEKDAY(EDATE($H$1801,$D$1818*COUNT($H$1801:H1802)),3)&lt;5,EDATE($H$1801,$D$1818*COUNT($H$1801:H1802)),WORKDAY(EDATE($H$1801,$D$1818*COUNT($H$1801:H1802)),1)))</f>
        <v>43584</v>
      </c>
      <c r="I1803" s="137" t="s">
        <v>13</v>
      </c>
      <c r="J1803" s="52">
        <f t="shared" si="169"/>
        <v>33906.849315068503</v>
      </c>
      <c r="K1803" s="52">
        <f>+IF(OR(I1803="A + C",I1803="A"),$D$1817*$D$1821,0)</f>
        <v>160000</v>
      </c>
      <c r="L1803" s="53">
        <f t="shared" si="170"/>
        <v>640000</v>
      </c>
      <c r="M1803" s="94">
        <f t="shared" si="171"/>
        <v>193906.84931506851</v>
      </c>
      <c r="N1803" s="25"/>
    </row>
    <row r="1804" spans="1:14" ht="15" x14ac:dyDescent="0.25">
      <c r="A1804" s="121"/>
      <c r="B1804" s="23"/>
      <c r="C1804" s="79" t="s">
        <v>38</v>
      </c>
      <c r="D1804" s="130"/>
      <c r="E1804" s="131"/>
      <c r="F1804" s="34"/>
      <c r="G1804" s="88"/>
      <c r="H1804" s="51">
        <f>IF(DAY(H1803)=DAY($H$1801),IF(WEEKDAY(EDATE(H1803,$D$1818),3)&lt;5,EDATE(H1803,$D$1818),WORKDAY(EDATE(H1803,$D$1818),1)),IF(WEEKDAY(EDATE($H$1801,$D$1818*COUNT($H$1801:H1803)),3)&lt;5,EDATE($H$1801,$D$1818*COUNT($H$1801:H1803)),WORKDAY(EDATE($H$1801,$D$1818*COUNT($H$1801:H1803)),1)))</f>
        <v>43766</v>
      </c>
      <c r="I1804" s="137" t="s">
        <v>13</v>
      </c>
      <c r="J1804" s="52">
        <f t="shared" si="169"/>
        <v>27125.479452054798</v>
      </c>
      <c r="K1804" s="52">
        <f>+IF(OR(I1804="A + C",I1804="A"),$D$1817*$D$1821,0)</f>
        <v>160000</v>
      </c>
      <c r="L1804" s="53">
        <f t="shared" si="170"/>
        <v>480000</v>
      </c>
      <c r="M1804" s="94">
        <f t="shared" si="171"/>
        <v>187125.4794520548</v>
      </c>
      <c r="N1804" s="25"/>
    </row>
    <row r="1805" spans="1:14" x14ac:dyDescent="0.25">
      <c r="A1805" s="121"/>
      <c r="B1805" s="32"/>
      <c r="C1805" s="59"/>
      <c r="D1805" s="132"/>
      <c r="E1805" s="133"/>
      <c r="F1805" s="34"/>
      <c r="G1805" s="88"/>
      <c r="H1805" s="51">
        <f>IF(DAY(H1804)=DAY($H$1801),IF(WEEKDAY(EDATE(H1804,$D$1818),3)&lt;5,EDATE(H1804,$D$1818),WORKDAY(EDATE(H1804,$D$1818),1)),IF(WEEKDAY(EDATE($H$1801,$D$1818*COUNT($H$1801:H1804)),3)&lt;5,EDATE($H$1801,$D$1818*COUNT($H$1801:H1804)),WORKDAY(EDATE($H$1801,$D$1818*COUNT($H$1801:H1804)),1)))</f>
        <v>43948</v>
      </c>
      <c r="I1805" s="137" t="s">
        <v>13</v>
      </c>
      <c r="J1805" s="52">
        <f t="shared" si="169"/>
        <v>20344.109589041098</v>
      </c>
      <c r="K1805" s="52">
        <f>+IF(OR(I1805="A + C",I1805="A"),$D$1817*$D$1821,0)</f>
        <v>160000</v>
      </c>
      <c r="L1805" s="53">
        <f t="shared" si="170"/>
        <v>320000</v>
      </c>
      <c r="M1805" s="94">
        <f t="shared" si="171"/>
        <v>180344.10958904109</v>
      </c>
      <c r="N1805" s="25"/>
    </row>
    <row r="1806" spans="1:14" x14ac:dyDescent="0.25">
      <c r="A1806" s="121"/>
      <c r="B1806" s="23"/>
      <c r="C1806" s="60"/>
      <c r="D1806" s="134"/>
      <c r="E1806" s="135"/>
      <c r="F1806" s="34"/>
      <c r="G1806" s="88"/>
      <c r="H1806" s="51">
        <f>IF(DAY(H1805)=DAY($H$1801),IF(WEEKDAY(EDATE(H1805,$D$1818),3)&lt;5,EDATE(H1805,$D$1818),WORKDAY(EDATE(H1805,$D$1818),1)),IF(WEEKDAY(EDATE($H$1801,$D$1818*COUNT($H$1801:H1805)),3)&lt;5,EDATE($H$1801,$D$1818*COUNT($H$1801:H1805)),WORKDAY(EDATE($H$1801,$D$1818*COUNT($H$1801:H1805)),1)))</f>
        <v>44131</v>
      </c>
      <c r="I1806" s="137" t="s">
        <v>13</v>
      </c>
      <c r="J1806" s="52">
        <f t="shared" si="169"/>
        <v>13637.260273972604</v>
      </c>
      <c r="K1806" s="52">
        <f>+IF(OR(I1806="A + C",I1806="A"),$D$1817*$D$1821,0)</f>
        <v>160000</v>
      </c>
      <c r="L1806" s="53">
        <f t="shared" si="170"/>
        <v>160000</v>
      </c>
      <c r="M1806" s="94">
        <f t="shared" si="171"/>
        <v>173637.26027397261</v>
      </c>
      <c r="N1806" s="25"/>
    </row>
    <row r="1807" spans="1:14" x14ac:dyDescent="0.25">
      <c r="A1807" s="121"/>
      <c r="B1807" s="23"/>
      <c r="C1807" s="60"/>
      <c r="D1807" s="275" t="str">
        <f>B1792</f>
        <v>Tito Dovio I</v>
      </c>
      <c r="E1807" s="276"/>
      <c r="F1807" s="36"/>
      <c r="G1807" s="89">
        <f>J1794</f>
        <v>0</v>
      </c>
      <c r="H1807" s="51">
        <f>IF(DAY(H1806)=DAY($H$1801),IF(WEEKDAY(EDATE(H1806,$D$1818),3)&lt;5,EDATE(H1806,$D$1818),WORKDAY(EDATE(H1806,$D$1818),1)),IF(WEEKDAY(EDATE($H$1801,$D$1818*COUNT($H$1801:H1806)),3)&lt;5,EDATE($H$1801,$D$1818*COUNT($H$1801:H1806)),WORKDAY(EDATE($H$1801,$D$1818*COUNT($H$1801:H1806)),1)))</f>
        <v>44313</v>
      </c>
      <c r="I1807" s="137" t="s">
        <v>13</v>
      </c>
      <c r="J1807" s="52">
        <f t="shared" si="169"/>
        <v>6781.3698630136996</v>
      </c>
      <c r="K1807" s="52">
        <f>+IF(OR(I1807="A + C",I1807="A"),$D$1817*$D$1821,0)</f>
        <v>160000</v>
      </c>
      <c r="L1807" s="53">
        <f t="shared" si="170"/>
        <v>0</v>
      </c>
      <c r="M1807" s="94">
        <f t="shared" si="171"/>
        <v>166781.36986301371</v>
      </c>
      <c r="N1807" s="25"/>
    </row>
    <row r="1808" spans="1:14" x14ac:dyDescent="0.25">
      <c r="A1808" s="121"/>
      <c r="B1808" s="23"/>
      <c r="D1808" s="277"/>
      <c r="E1808" s="277"/>
      <c r="F1808" s="36"/>
      <c r="G1808" s="89"/>
      <c r="H1808" s="54"/>
      <c r="I1808" s="144"/>
      <c r="J1808" s="55"/>
      <c r="K1808" s="56"/>
      <c r="L1808" s="57"/>
      <c r="M1808" s="95"/>
      <c r="N1808" s="25"/>
    </row>
    <row r="1809" spans="1:14" ht="15" x14ac:dyDescent="0.25">
      <c r="A1809" s="121"/>
      <c r="B1809" s="23"/>
      <c r="C1809" s="638" t="s">
        <v>36</v>
      </c>
      <c r="D1809" s="640"/>
      <c r="E1809" s="36"/>
      <c r="F1809" s="36"/>
      <c r="G1809" s="89"/>
      <c r="H1809" s="24"/>
      <c r="I1809" s="24"/>
      <c r="J1809" s="24"/>
      <c r="K1809" s="24"/>
      <c r="L1809" s="24"/>
      <c r="M1809" s="24"/>
      <c r="N1809" s="25"/>
    </row>
    <row r="1810" spans="1:14" ht="15" x14ac:dyDescent="0.25">
      <c r="A1810" s="121"/>
      <c r="B1810" s="23"/>
      <c r="C1810" s="59"/>
      <c r="D1810" s="62"/>
      <c r="E1810" s="36"/>
      <c r="F1810" s="36"/>
      <c r="G1810" s="89"/>
      <c r="H1810" s="680" t="s">
        <v>43</v>
      </c>
      <c r="I1810" s="680"/>
      <c r="J1810" s="92">
        <v>0</v>
      </c>
      <c r="K1810" s="92"/>
      <c r="L1810" s="24"/>
      <c r="M1810" s="24"/>
      <c r="N1810" s="25"/>
    </row>
    <row r="1811" spans="1:14" x14ac:dyDescent="0.25">
      <c r="A1811" s="121"/>
      <c r="B1811" s="23"/>
      <c r="C1811" s="59" t="s">
        <v>9</v>
      </c>
      <c r="D1811" s="129" t="s">
        <v>49</v>
      </c>
      <c r="E1811" s="36"/>
      <c r="F1811" s="36"/>
      <c r="G1811" s="89"/>
      <c r="H1811" s="24"/>
      <c r="I1811" s="24"/>
      <c r="J1811" s="24"/>
      <c r="K1811" s="24"/>
      <c r="L1811" s="33"/>
      <c r="M1811" s="33"/>
      <c r="N1811" s="25"/>
    </row>
    <row r="1812" spans="1:14" x14ac:dyDescent="0.25">
      <c r="A1812" s="121"/>
      <c r="B1812" s="23"/>
      <c r="C1812" s="59" t="s">
        <v>51</v>
      </c>
      <c r="D1812" s="138" t="s">
        <v>18</v>
      </c>
      <c r="E1812" s="36"/>
      <c r="F1812" s="24"/>
      <c r="G1812" s="90"/>
      <c r="H1812" s="24"/>
      <c r="I1812" s="24"/>
      <c r="J1812" s="24"/>
      <c r="K1812" s="24"/>
      <c r="L1812" s="24"/>
      <c r="M1812" s="24"/>
      <c r="N1812" s="25"/>
    </row>
    <row r="1813" spans="1:14" ht="15" x14ac:dyDescent="0.25">
      <c r="A1813" s="121"/>
      <c r="B1813" s="23"/>
      <c r="C1813" s="59" t="s">
        <v>52</v>
      </c>
      <c r="D1813" s="138" t="s">
        <v>18</v>
      </c>
      <c r="E1813" s="36"/>
      <c r="F1813" s="24"/>
      <c r="G1813" s="90"/>
      <c r="H1813" s="638" t="s">
        <v>44</v>
      </c>
      <c r="I1813" s="639"/>
      <c r="J1813" s="639"/>
      <c r="K1813" s="639"/>
      <c r="L1813" s="639"/>
      <c r="M1813" s="640"/>
      <c r="N1813" s="25"/>
    </row>
    <row r="1814" spans="1:14" x14ac:dyDescent="0.25">
      <c r="A1814" s="121"/>
      <c r="B1814" s="23"/>
      <c r="C1814" s="59" t="s">
        <v>10</v>
      </c>
      <c r="D1814" s="139">
        <v>43173</v>
      </c>
      <c r="E1814" s="36"/>
      <c r="F1814" s="24"/>
      <c r="G1814" s="90"/>
      <c r="H1814" s="23"/>
      <c r="I1814" s="24"/>
      <c r="J1814" s="24"/>
      <c r="K1814" s="24"/>
      <c r="L1814" s="24"/>
      <c r="M1814" s="25"/>
      <c r="N1814" s="25"/>
    </row>
    <row r="1815" spans="1:14" x14ac:dyDescent="0.25">
      <c r="A1815" s="121"/>
      <c r="B1815" s="23"/>
      <c r="C1815" s="59" t="s">
        <v>11</v>
      </c>
      <c r="D1815" s="139">
        <v>43217</v>
      </c>
      <c r="E1815" s="41"/>
      <c r="F1815" s="24"/>
      <c r="G1815" s="90"/>
      <c r="H1815" s="23"/>
      <c r="I1815" s="24"/>
      <c r="J1815" s="24"/>
      <c r="K1815" s="24"/>
      <c r="L1815" s="24"/>
      <c r="M1815" s="25"/>
      <c r="N1815" s="25"/>
    </row>
    <row r="1816" spans="1:14" x14ac:dyDescent="0.25">
      <c r="A1816" s="121"/>
      <c r="B1816" s="23"/>
      <c r="C1816" s="59" t="s">
        <v>12</v>
      </c>
      <c r="D1816" s="139">
        <v>44313</v>
      </c>
      <c r="E1816" s="36"/>
      <c r="F1816" s="24"/>
      <c r="G1816" s="90"/>
      <c r="H1816" s="96"/>
      <c r="I1816" s="35"/>
      <c r="J1816" s="24"/>
      <c r="K1816" s="24"/>
      <c r="L1816" s="24"/>
      <c r="M1816" s="25"/>
      <c r="N1816" s="25"/>
    </row>
    <row r="1817" spans="1:14" x14ac:dyDescent="0.25">
      <c r="A1817" s="121"/>
      <c r="B1817" s="23"/>
      <c r="C1817" s="59" t="s">
        <v>27</v>
      </c>
      <c r="D1817" s="140">
        <v>800000</v>
      </c>
      <c r="E1817" s="43"/>
      <c r="F1817" s="24"/>
      <c r="G1817" s="90"/>
      <c r="H1817" s="23"/>
      <c r="I1817" s="24"/>
      <c r="J1817" s="24"/>
      <c r="K1817" s="24"/>
      <c r="L1817" s="24"/>
      <c r="M1817" s="25"/>
      <c r="N1817" s="25"/>
    </row>
    <row r="1818" spans="1:14" x14ac:dyDescent="0.25">
      <c r="A1818" s="121"/>
      <c r="B1818" s="23"/>
      <c r="C1818" s="59" t="s">
        <v>26</v>
      </c>
      <c r="D1818" s="140">
        <v>6</v>
      </c>
      <c r="E1818" s="43"/>
      <c r="F1818" s="24"/>
      <c r="G1818" s="90"/>
      <c r="H1818" s="23"/>
      <c r="I1818" s="24"/>
      <c r="J1818" s="24"/>
      <c r="K1818" s="24"/>
      <c r="L1818" s="24"/>
      <c r="M1818" s="25"/>
      <c r="N1818" s="25"/>
    </row>
    <row r="1819" spans="1:14" x14ac:dyDescent="0.25">
      <c r="A1819" s="121"/>
      <c r="B1819" s="23"/>
      <c r="C1819" s="59" t="s">
        <v>19</v>
      </c>
      <c r="D1819" s="141" t="s">
        <v>50</v>
      </c>
      <c r="E1819" s="43"/>
      <c r="F1819" s="24"/>
      <c r="G1819" s="90"/>
      <c r="H1819" s="23"/>
      <c r="I1819" s="24"/>
      <c r="J1819" s="24"/>
      <c r="K1819" s="24"/>
      <c r="L1819" s="24"/>
      <c r="M1819" s="25"/>
      <c r="N1819" s="25"/>
    </row>
    <row r="1820" spans="1:14" x14ac:dyDescent="0.25">
      <c r="A1820" s="121"/>
      <c r="B1820" s="23"/>
      <c r="C1820" s="59" t="s">
        <v>14</v>
      </c>
      <c r="D1820" s="142">
        <v>8.5000000000000006E-2</v>
      </c>
      <c r="E1820" s="44"/>
      <c r="F1820" s="24"/>
      <c r="G1820" s="90"/>
      <c r="H1820" s="23"/>
      <c r="I1820" s="24"/>
      <c r="J1820" s="24"/>
      <c r="K1820" s="24"/>
      <c r="L1820" s="24"/>
      <c r="M1820" s="25"/>
      <c r="N1820" s="25"/>
    </row>
    <row r="1821" spans="1:14" x14ac:dyDescent="0.25">
      <c r="A1821" s="121"/>
      <c r="B1821" s="23"/>
      <c r="C1821" s="59" t="s">
        <v>42</v>
      </c>
      <c r="D1821" s="143">
        <v>0.2</v>
      </c>
      <c r="E1821" s="24"/>
      <c r="F1821" s="24"/>
      <c r="G1821" s="90"/>
      <c r="H1821" s="23"/>
      <c r="I1821" s="24"/>
      <c r="J1821" s="24"/>
      <c r="K1821" s="24"/>
      <c r="L1821" s="24"/>
      <c r="M1821" s="25"/>
      <c r="N1821" s="25"/>
    </row>
    <row r="1822" spans="1:14" x14ac:dyDescent="0.25">
      <c r="A1822" s="121"/>
      <c r="B1822" s="23"/>
      <c r="C1822" s="63"/>
      <c r="D1822" s="145"/>
      <c r="E1822" s="24"/>
      <c r="F1822" s="24"/>
      <c r="G1822" s="90"/>
      <c r="H1822" s="23"/>
      <c r="I1822" s="24"/>
      <c r="J1822" s="24"/>
      <c r="K1822" s="24"/>
      <c r="L1822" s="24"/>
      <c r="M1822" s="25"/>
      <c r="N1822" s="25"/>
    </row>
    <row r="1823" spans="1:14" x14ac:dyDescent="0.25">
      <c r="A1823" s="121"/>
      <c r="B1823" s="23"/>
      <c r="C1823" s="24"/>
      <c r="D1823" s="24"/>
      <c r="E1823" s="24"/>
      <c r="F1823" s="24"/>
      <c r="G1823" s="90"/>
      <c r="H1823" s="23"/>
      <c r="I1823" s="24"/>
      <c r="J1823" s="24"/>
      <c r="K1823" s="24"/>
      <c r="L1823" s="24"/>
      <c r="M1823" s="25"/>
      <c r="N1823" s="25"/>
    </row>
    <row r="1824" spans="1:14" x14ac:dyDescent="0.25">
      <c r="A1824" s="121"/>
      <c r="B1824" s="23"/>
      <c r="C1824" s="24"/>
      <c r="D1824" s="24"/>
      <c r="E1824" s="24"/>
      <c r="F1824" s="24"/>
      <c r="G1824" s="90"/>
      <c r="H1824" s="23"/>
      <c r="I1824" s="24"/>
      <c r="J1824" s="24"/>
      <c r="K1824" s="24"/>
      <c r="L1824" s="24"/>
      <c r="M1824" s="25"/>
      <c r="N1824" s="25"/>
    </row>
    <row r="1825" spans="1:14" x14ac:dyDescent="0.25">
      <c r="A1825" s="121"/>
      <c r="B1825" s="23"/>
      <c r="C1825" s="24"/>
      <c r="D1825" s="24"/>
      <c r="E1825" s="24"/>
      <c r="F1825" s="24"/>
      <c r="G1825" s="90"/>
      <c r="H1825" s="26"/>
      <c r="I1825" s="27"/>
      <c r="J1825" s="27"/>
      <c r="K1825" s="27"/>
      <c r="L1825" s="27"/>
      <c r="M1825" s="28"/>
      <c r="N1825" s="25"/>
    </row>
    <row r="1826" spans="1:14" x14ac:dyDescent="0.25">
      <c r="A1826" s="121"/>
      <c r="B1826" s="26"/>
      <c r="C1826" s="85"/>
      <c r="D1826" s="27"/>
      <c r="E1826" s="27"/>
      <c r="F1826" s="27"/>
      <c r="G1826" s="91"/>
      <c r="H1826" s="27"/>
      <c r="I1826" s="27"/>
      <c r="J1826" s="27"/>
      <c r="K1826" s="27"/>
      <c r="L1826" s="27"/>
      <c r="M1826" s="27"/>
      <c r="N1826" s="28"/>
    </row>
    <row r="1827" spans="1:14" x14ac:dyDescent="0.25">
      <c r="A1827" s="121"/>
      <c r="B1827" s="23"/>
      <c r="C1827" s="24"/>
      <c r="D1827" s="24"/>
      <c r="E1827" s="24"/>
      <c r="F1827" s="24"/>
      <c r="G1827" s="24"/>
      <c r="H1827" s="24"/>
      <c r="I1827" s="24"/>
      <c r="J1827" s="24"/>
      <c r="K1827" s="24"/>
      <c r="L1827" s="24"/>
      <c r="M1827" s="24"/>
      <c r="N1827" s="25"/>
    </row>
    <row r="1828" spans="1:14" ht="23.25" x14ac:dyDescent="0.25">
      <c r="A1828" s="122" t="s">
        <v>135</v>
      </c>
      <c r="B1828" s="111"/>
      <c r="C1828" s="112"/>
      <c r="D1828" s="112"/>
      <c r="E1828" s="112"/>
      <c r="F1828" s="113"/>
      <c r="G1828" s="113"/>
      <c r="H1828" s="113"/>
      <c r="I1828" s="113"/>
      <c r="J1828" s="112"/>
      <c r="K1828" s="112"/>
      <c r="L1828" s="112"/>
      <c r="M1828" s="112"/>
      <c r="N1828" s="114"/>
    </row>
    <row r="1829" spans="1:14" x14ac:dyDescent="0.25">
      <c r="A1829" s="121"/>
      <c r="B1829" s="23"/>
      <c r="C1829" s="24"/>
      <c r="D1829" s="24"/>
      <c r="E1829" s="24"/>
      <c r="F1829" s="24"/>
      <c r="G1829" s="24"/>
      <c r="H1829" s="24"/>
      <c r="I1829" s="24"/>
      <c r="J1829" s="24"/>
      <c r="K1829" s="24"/>
      <c r="L1829" s="24"/>
      <c r="M1829" s="24"/>
      <c r="N1829" s="25"/>
    </row>
    <row r="1830" spans="1:14" ht="23.25" x14ac:dyDescent="0.25">
      <c r="A1830" s="122" t="s">
        <v>63</v>
      </c>
      <c r="B1830" s="111"/>
      <c r="C1830" s="112"/>
      <c r="D1830" s="112"/>
      <c r="E1830" s="112"/>
      <c r="F1830" s="113"/>
      <c r="G1830" s="113"/>
      <c r="H1830" s="113"/>
      <c r="I1830" s="113"/>
      <c r="J1830" s="112"/>
      <c r="K1830" s="112"/>
      <c r="L1830" s="112"/>
      <c r="M1830" s="112"/>
      <c r="N1830" s="114"/>
    </row>
    <row r="1831" spans="1:14" x14ac:dyDescent="0.25">
      <c r="A1831" s="121"/>
      <c r="B1831" s="23"/>
      <c r="C1831" s="24"/>
      <c r="D1831" s="24"/>
      <c r="E1831" s="24"/>
      <c r="F1831" s="24"/>
      <c r="G1831" s="24"/>
      <c r="H1831" s="24"/>
      <c r="I1831" s="24"/>
      <c r="J1831" s="24"/>
      <c r="K1831" s="24"/>
      <c r="L1831" s="24"/>
      <c r="M1831" s="24"/>
      <c r="N1831" s="25"/>
    </row>
    <row r="1832" spans="1:14" ht="23.25" x14ac:dyDescent="0.25">
      <c r="A1832" s="122" t="s">
        <v>136</v>
      </c>
      <c r="B1832" s="111"/>
      <c r="C1832" s="112"/>
      <c r="D1832" s="112"/>
      <c r="E1832" s="112"/>
      <c r="F1832" s="113"/>
      <c r="G1832" s="113"/>
      <c r="H1832" s="113"/>
      <c r="I1832" s="113"/>
      <c r="J1832" s="112"/>
      <c r="K1832" s="112"/>
      <c r="L1832" s="112"/>
      <c r="M1832" s="112"/>
      <c r="N1832" s="114"/>
    </row>
    <row r="1833" spans="1:14" x14ac:dyDescent="0.25">
      <c r="A1833" s="121"/>
      <c r="B1833" s="23"/>
      <c r="C1833" s="24"/>
      <c r="D1833" s="24"/>
      <c r="E1833" s="24"/>
      <c r="F1833" s="24"/>
      <c r="G1833" s="24"/>
      <c r="H1833" s="24"/>
      <c r="I1833" s="24"/>
      <c r="J1833" s="24"/>
      <c r="K1833" s="24"/>
      <c r="L1833" s="24"/>
      <c r="M1833" s="24"/>
      <c r="N1833" s="25"/>
    </row>
    <row r="1834" spans="1:14" ht="23.25" x14ac:dyDescent="0.25">
      <c r="A1834" s="122" t="s">
        <v>138</v>
      </c>
      <c r="B1834" s="111"/>
      <c r="C1834" s="112"/>
      <c r="D1834" s="112"/>
      <c r="E1834" s="112"/>
      <c r="F1834" s="113"/>
      <c r="G1834" s="113"/>
      <c r="H1834" s="113"/>
      <c r="I1834" s="113"/>
      <c r="J1834" s="112"/>
      <c r="K1834" s="112"/>
      <c r="L1834" s="112"/>
      <c r="M1834" s="112"/>
      <c r="N1834" s="114"/>
    </row>
    <row r="1835" spans="1:14" x14ac:dyDescent="0.25">
      <c r="A1835" s="121"/>
      <c r="B1835" s="23"/>
      <c r="C1835" s="24"/>
      <c r="D1835" s="24"/>
      <c r="E1835" s="24"/>
      <c r="F1835" s="24"/>
      <c r="G1835" s="24"/>
      <c r="H1835" s="24"/>
      <c r="I1835" s="24"/>
      <c r="J1835" s="24"/>
      <c r="K1835" s="24"/>
      <c r="L1835" s="24"/>
      <c r="M1835" s="24"/>
      <c r="N1835" s="25"/>
    </row>
    <row r="1836" spans="1:14" ht="23.25" x14ac:dyDescent="0.25">
      <c r="A1836" s="122" t="s">
        <v>137</v>
      </c>
      <c r="B1836" s="111"/>
      <c r="C1836" s="112"/>
      <c r="D1836" s="112"/>
      <c r="E1836" s="112"/>
      <c r="F1836" s="113"/>
      <c r="G1836" s="113"/>
      <c r="H1836" s="113"/>
      <c r="I1836" s="113"/>
      <c r="J1836" s="112"/>
      <c r="K1836" s="112"/>
      <c r="L1836" s="112"/>
      <c r="M1836" s="112"/>
      <c r="N1836" s="114"/>
    </row>
    <row r="1837" spans="1:14" x14ac:dyDescent="0.25">
      <c r="A1837" s="121"/>
      <c r="B1837" s="23"/>
      <c r="C1837" s="24"/>
      <c r="D1837" s="24"/>
      <c r="E1837" s="24"/>
      <c r="F1837" s="24"/>
      <c r="G1837" s="24"/>
      <c r="H1837" s="24"/>
      <c r="I1837" s="24"/>
      <c r="J1837" s="24"/>
      <c r="K1837" s="24"/>
      <c r="L1837" s="24"/>
      <c r="M1837" s="24"/>
      <c r="N1837" s="25"/>
    </row>
    <row r="1838" spans="1:14" ht="23.25" x14ac:dyDescent="0.25">
      <c r="A1838" s="122" t="s">
        <v>139</v>
      </c>
      <c r="B1838" s="111"/>
      <c r="C1838" s="112"/>
      <c r="D1838" s="112"/>
      <c r="E1838" s="112"/>
      <c r="F1838" s="113"/>
      <c r="G1838" s="113"/>
      <c r="H1838" s="113"/>
      <c r="I1838" s="113"/>
      <c r="J1838" s="112"/>
      <c r="K1838" s="112"/>
      <c r="L1838" s="112"/>
      <c r="M1838" s="112"/>
      <c r="N1838" s="114"/>
    </row>
    <row r="1839" spans="1:14" x14ac:dyDescent="0.25">
      <c r="A1839" s="121"/>
      <c r="B1839" s="23"/>
      <c r="C1839" s="24"/>
      <c r="D1839" s="24"/>
      <c r="E1839" s="24"/>
      <c r="F1839" s="24"/>
      <c r="G1839" s="24"/>
      <c r="H1839" s="24"/>
      <c r="I1839" s="24"/>
      <c r="J1839" s="24"/>
      <c r="K1839" s="24"/>
      <c r="L1839" s="24"/>
      <c r="M1839" s="24"/>
      <c r="N1839" s="25"/>
    </row>
    <row r="1840" spans="1:14" x14ac:dyDescent="0.25">
      <c r="A1840" s="121"/>
      <c r="B1840" s="23"/>
      <c r="C1840" s="24"/>
      <c r="D1840" s="24"/>
      <c r="E1840" s="24"/>
      <c r="F1840" s="24"/>
      <c r="G1840" s="24"/>
      <c r="H1840" s="24"/>
      <c r="I1840" s="24"/>
      <c r="J1840" s="24"/>
      <c r="K1840" s="24"/>
      <c r="L1840" s="24"/>
      <c r="M1840" s="24"/>
      <c r="N1840" s="25"/>
    </row>
    <row r="1841" spans="1:14" x14ac:dyDescent="0.25">
      <c r="A1841" s="121"/>
      <c r="B1841" s="26"/>
      <c r="C1841" s="85"/>
      <c r="D1841" s="27"/>
      <c r="E1841" s="27"/>
      <c r="F1841" s="27"/>
      <c r="G1841" s="27"/>
      <c r="H1841" s="27"/>
      <c r="I1841" s="27"/>
      <c r="J1841" s="27"/>
      <c r="K1841" s="27"/>
      <c r="L1841" s="27"/>
      <c r="M1841" s="27"/>
      <c r="N1841" s="28"/>
    </row>
  </sheetData>
  <mergeCells count="727">
    <mergeCell ref="D656:E656"/>
    <mergeCell ref="D657:E657"/>
    <mergeCell ref="D662:E662"/>
    <mergeCell ref="C663:D663"/>
    <mergeCell ref="H669:I669"/>
    <mergeCell ref="H670:I670"/>
    <mergeCell ref="H672:M672"/>
    <mergeCell ref="B649:N649"/>
    <mergeCell ref="C651:E651"/>
    <mergeCell ref="H651:I651"/>
    <mergeCell ref="D652:E652"/>
    <mergeCell ref="H652:I652"/>
    <mergeCell ref="D653:E653"/>
    <mergeCell ref="H653:I653"/>
    <mergeCell ref="D654:E654"/>
    <mergeCell ref="D655:E655"/>
    <mergeCell ref="H655:L655"/>
    <mergeCell ref="B1160:N1160"/>
    <mergeCell ref="B1126:N1126"/>
    <mergeCell ref="H739:I739"/>
    <mergeCell ref="H742:M742"/>
    <mergeCell ref="D730:E730"/>
    <mergeCell ref="C736:D736"/>
    <mergeCell ref="H740:I740"/>
    <mergeCell ref="B1598:N1598"/>
    <mergeCell ref="H958:I958"/>
    <mergeCell ref="H959:I959"/>
    <mergeCell ref="H960:I960"/>
    <mergeCell ref="H962:L962"/>
    <mergeCell ref="H991:I991"/>
    <mergeCell ref="H992:I992"/>
    <mergeCell ref="H994:M994"/>
    <mergeCell ref="C1526:E1526"/>
    <mergeCell ref="H1526:I1526"/>
    <mergeCell ref="D1527:E1527"/>
    <mergeCell ref="H1527:I1527"/>
    <mergeCell ref="H1509:M1509"/>
    <mergeCell ref="D1496:E1496"/>
    <mergeCell ref="H1547:M1547"/>
    <mergeCell ref="D1532:E1532"/>
    <mergeCell ref="D1537:E1537"/>
    <mergeCell ref="C1538:D1538"/>
    <mergeCell ref="H1544:I1544"/>
    <mergeCell ref="H1545:I1545"/>
    <mergeCell ref="D1528:E1528"/>
    <mergeCell ref="H1528:I1528"/>
    <mergeCell ref="D1529:E1529"/>
    <mergeCell ref="H1446:I1446"/>
    <mergeCell ref="D1447:E1447"/>
    <mergeCell ref="D1448:E1448"/>
    <mergeCell ref="D1530:E1530"/>
    <mergeCell ref="H1530:L1530"/>
    <mergeCell ref="C1502:D1502"/>
    <mergeCell ref="H1506:I1506"/>
    <mergeCell ref="H1507:I1507"/>
    <mergeCell ref="D1501:E1501"/>
    <mergeCell ref="D1492:E1492"/>
    <mergeCell ref="H1492:I1492"/>
    <mergeCell ref="D1493:E1493"/>
    <mergeCell ref="D1494:E1494"/>
    <mergeCell ref="H1494:L1494"/>
    <mergeCell ref="B1488:N1488"/>
    <mergeCell ref="B1524:N1524"/>
    <mergeCell ref="H1448:L1448"/>
    <mergeCell ref="C1330:D1330"/>
    <mergeCell ref="H1340:I1340"/>
    <mergeCell ref="C1402:E1402"/>
    <mergeCell ref="H1402:I1402"/>
    <mergeCell ref="H1112:M1112"/>
    <mergeCell ref="H1187:M1187"/>
    <mergeCell ref="C1490:E1490"/>
    <mergeCell ref="H1490:I1490"/>
    <mergeCell ref="D1491:E1491"/>
    <mergeCell ref="H1491:I1491"/>
    <mergeCell ref="C1444:E1444"/>
    <mergeCell ref="H1444:I1444"/>
    <mergeCell ref="D1445:E1445"/>
    <mergeCell ref="H1445:I1445"/>
    <mergeCell ref="H1427:M1427"/>
    <mergeCell ref="D1408:E1408"/>
    <mergeCell ref="H1473:M1473"/>
    <mergeCell ref="D1450:E1450"/>
    <mergeCell ref="D1455:E1455"/>
    <mergeCell ref="C1456:D1456"/>
    <mergeCell ref="H1470:I1470"/>
    <mergeCell ref="H1343:M1343"/>
    <mergeCell ref="H1471:I1471"/>
    <mergeCell ref="D1446:E1446"/>
    <mergeCell ref="D1413:E1413"/>
    <mergeCell ref="C1414:D1414"/>
    <mergeCell ref="H1385:M1385"/>
    <mergeCell ref="D1368:E1368"/>
    <mergeCell ref="H1382:I1382"/>
    <mergeCell ref="D1362:E1362"/>
    <mergeCell ref="H1362:I1362"/>
    <mergeCell ref="D1363:E1363"/>
    <mergeCell ref="D1364:E1364"/>
    <mergeCell ref="H1364:L1364"/>
    <mergeCell ref="B1274:N1274"/>
    <mergeCell ref="B1316:N1316"/>
    <mergeCell ref="B1358:N1358"/>
    <mergeCell ref="B1400:N1400"/>
    <mergeCell ref="B1442:N1442"/>
    <mergeCell ref="D1278:E1278"/>
    <mergeCell ref="H1278:I1278"/>
    <mergeCell ref="D1279:E1279"/>
    <mergeCell ref="D1280:E1280"/>
    <mergeCell ref="H1280:L1280"/>
    <mergeCell ref="C1276:E1276"/>
    <mergeCell ref="H1276:I1276"/>
    <mergeCell ref="D1277:E1277"/>
    <mergeCell ref="H1277:I1277"/>
    <mergeCell ref="D1403:E1403"/>
    <mergeCell ref="H1403:I1403"/>
    <mergeCell ref="C1360:E1360"/>
    <mergeCell ref="H1360:I1360"/>
    <mergeCell ref="D1361:E1361"/>
    <mergeCell ref="H1361:I1361"/>
    <mergeCell ref="C1374:D1374"/>
    <mergeCell ref="D1320:E1320"/>
    <mergeCell ref="H1320:I1320"/>
    <mergeCell ref="D1321:E1321"/>
    <mergeCell ref="H1301:M1301"/>
    <mergeCell ref="D1282:E1282"/>
    <mergeCell ref="D1287:E1287"/>
    <mergeCell ref="C1288:D1288"/>
    <mergeCell ref="H1298:I1298"/>
    <mergeCell ref="H1299:I1299"/>
    <mergeCell ref="D1329:E1329"/>
    <mergeCell ref="C1318:E1318"/>
    <mergeCell ref="H1318:I1318"/>
    <mergeCell ref="D1319:E1319"/>
    <mergeCell ref="H1319:I1319"/>
    <mergeCell ref="D1322:E1322"/>
    <mergeCell ref="H1322:L1322"/>
    <mergeCell ref="H1424:I1424"/>
    <mergeCell ref="H1425:I1425"/>
    <mergeCell ref="D1404:E1404"/>
    <mergeCell ref="H1404:I1404"/>
    <mergeCell ref="D1405:E1405"/>
    <mergeCell ref="D1406:E1406"/>
    <mergeCell ref="H1406:L1406"/>
    <mergeCell ref="D1324:E1324"/>
    <mergeCell ref="C1162:E1162"/>
    <mergeCell ref="H1162:I1162"/>
    <mergeCell ref="D1163:E1163"/>
    <mergeCell ref="H1163:I1163"/>
    <mergeCell ref="H1185:I1185"/>
    <mergeCell ref="D1164:E1164"/>
    <mergeCell ref="H1164:I1164"/>
    <mergeCell ref="D1165:E1165"/>
    <mergeCell ref="D1166:E1166"/>
    <mergeCell ref="H1166:L1166"/>
    <mergeCell ref="D1168:E1168"/>
    <mergeCell ref="D1173:E1173"/>
    <mergeCell ref="C1174:D1174"/>
    <mergeCell ref="H1184:I1184"/>
    <mergeCell ref="B1203:N1203"/>
    <mergeCell ref="D1244:E1244"/>
    <mergeCell ref="B1085:N1085"/>
    <mergeCell ref="C1087:E1087"/>
    <mergeCell ref="H1087:I1087"/>
    <mergeCell ref="D1088:E1088"/>
    <mergeCell ref="H1088:I1088"/>
    <mergeCell ref="H1110:I1110"/>
    <mergeCell ref="D1089:E1089"/>
    <mergeCell ref="H1089:I1089"/>
    <mergeCell ref="D1090:E1090"/>
    <mergeCell ref="D1091:E1091"/>
    <mergeCell ref="H1091:L1091"/>
    <mergeCell ref="D1093:E1093"/>
    <mergeCell ref="D1098:E1098"/>
    <mergeCell ref="C1099:D1099"/>
    <mergeCell ref="H1109:I1109"/>
    <mergeCell ref="B1048:N1048"/>
    <mergeCell ref="H1069:M1069"/>
    <mergeCell ref="C1050:E1050"/>
    <mergeCell ref="H1050:I1050"/>
    <mergeCell ref="D1051:E1051"/>
    <mergeCell ref="H1051:I1051"/>
    <mergeCell ref="H1067:I1067"/>
    <mergeCell ref="D1052:E1052"/>
    <mergeCell ref="H1052:I1052"/>
    <mergeCell ref="D1053:E1053"/>
    <mergeCell ref="D1054:E1054"/>
    <mergeCell ref="H1054:L1054"/>
    <mergeCell ref="D1056:E1056"/>
    <mergeCell ref="D1061:E1061"/>
    <mergeCell ref="C1062:D1062"/>
    <mergeCell ref="H1066:I1066"/>
    <mergeCell ref="B956:N956"/>
    <mergeCell ref="C958:E958"/>
    <mergeCell ref="D959:E959"/>
    <mergeCell ref="H1029:M1029"/>
    <mergeCell ref="H1027:I1027"/>
    <mergeCell ref="D960:E960"/>
    <mergeCell ref="D961:E961"/>
    <mergeCell ref="D962:E962"/>
    <mergeCell ref="H1009:L1009"/>
    <mergeCell ref="D963:E963"/>
    <mergeCell ref="D964:E964"/>
    <mergeCell ref="D969:E969"/>
    <mergeCell ref="C970:D970"/>
    <mergeCell ref="C912:E912"/>
    <mergeCell ref="H912:I912"/>
    <mergeCell ref="D913:E913"/>
    <mergeCell ref="H913:I913"/>
    <mergeCell ref="H941:M941"/>
    <mergeCell ref="H939:I939"/>
    <mergeCell ref="D914:E914"/>
    <mergeCell ref="H914:I914"/>
    <mergeCell ref="D915:E915"/>
    <mergeCell ref="D916:E916"/>
    <mergeCell ref="H916:L916"/>
    <mergeCell ref="D917:E917"/>
    <mergeCell ref="D918:E918"/>
    <mergeCell ref="D923:E923"/>
    <mergeCell ref="C924:D924"/>
    <mergeCell ref="H938:I938"/>
    <mergeCell ref="H891:I891"/>
    <mergeCell ref="H892:I892"/>
    <mergeCell ref="H894:M894"/>
    <mergeCell ref="C867:E867"/>
    <mergeCell ref="C910:E910"/>
    <mergeCell ref="C869:E869"/>
    <mergeCell ref="H869:I869"/>
    <mergeCell ref="D870:E870"/>
    <mergeCell ref="H870:I870"/>
    <mergeCell ref="D871:E871"/>
    <mergeCell ref="H871:I871"/>
    <mergeCell ref="D872:E872"/>
    <mergeCell ref="D873:E873"/>
    <mergeCell ref="H873:L873"/>
    <mergeCell ref="D878:E878"/>
    <mergeCell ref="B908:N908"/>
    <mergeCell ref="D833:E833"/>
    <mergeCell ref="H833:I833"/>
    <mergeCell ref="D834:E834"/>
    <mergeCell ref="D835:E835"/>
    <mergeCell ref="H835:L835"/>
    <mergeCell ref="D837:E837"/>
    <mergeCell ref="D842:E842"/>
    <mergeCell ref="C843:D843"/>
    <mergeCell ref="H847:I847"/>
    <mergeCell ref="H618:L618"/>
    <mergeCell ref="D619:E619"/>
    <mergeCell ref="D620:E620"/>
    <mergeCell ref="D625:E625"/>
    <mergeCell ref="C626:D626"/>
    <mergeCell ref="H632:I632"/>
    <mergeCell ref="H811:I811"/>
    <mergeCell ref="C771:D771"/>
    <mergeCell ref="H775:I775"/>
    <mergeCell ref="H776:I776"/>
    <mergeCell ref="C795:E795"/>
    <mergeCell ref="H795:I795"/>
    <mergeCell ref="D796:E796"/>
    <mergeCell ref="H796:I796"/>
    <mergeCell ref="B721:N721"/>
    <mergeCell ref="C723:E723"/>
    <mergeCell ref="H723:I723"/>
    <mergeCell ref="D724:E724"/>
    <mergeCell ref="H724:I724"/>
    <mergeCell ref="D725:E725"/>
    <mergeCell ref="H725:I725"/>
    <mergeCell ref="D726:E726"/>
    <mergeCell ref="D727:E727"/>
    <mergeCell ref="H727:L727"/>
    <mergeCell ref="C1600:E1600"/>
    <mergeCell ref="H1600:I1600"/>
    <mergeCell ref="D1601:E1601"/>
    <mergeCell ref="H1601:I1601"/>
    <mergeCell ref="H1625:M1625"/>
    <mergeCell ref="D1606:E1606"/>
    <mergeCell ref="D1611:E1611"/>
    <mergeCell ref="C1612:D1612"/>
    <mergeCell ref="H1622:I1622"/>
    <mergeCell ref="H1623:I1623"/>
    <mergeCell ref="D1602:E1602"/>
    <mergeCell ref="H1602:I1602"/>
    <mergeCell ref="D1603:E1603"/>
    <mergeCell ref="D1604:E1604"/>
    <mergeCell ref="H1604:L1604"/>
    <mergeCell ref="B1562:N1562"/>
    <mergeCell ref="H1583:M1583"/>
    <mergeCell ref="D1570:E1570"/>
    <mergeCell ref="D1575:E1575"/>
    <mergeCell ref="C1576:D1576"/>
    <mergeCell ref="H1580:I1580"/>
    <mergeCell ref="H1581:I1581"/>
    <mergeCell ref="D1566:E1566"/>
    <mergeCell ref="H1566:I1566"/>
    <mergeCell ref="D1567:E1567"/>
    <mergeCell ref="D1568:E1568"/>
    <mergeCell ref="H1568:L1568"/>
    <mergeCell ref="C1564:E1564"/>
    <mergeCell ref="H1564:I1564"/>
    <mergeCell ref="D1565:E1565"/>
    <mergeCell ref="H1565:I1565"/>
    <mergeCell ref="C831:E831"/>
    <mergeCell ref="H831:I831"/>
    <mergeCell ref="D832:E832"/>
    <mergeCell ref="H832:I832"/>
    <mergeCell ref="H850:M850"/>
    <mergeCell ref="H848:I848"/>
    <mergeCell ref="C1643:E1643"/>
    <mergeCell ref="C1680:E1680"/>
    <mergeCell ref="H1699:M1699"/>
    <mergeCell ref="D1688:E1688"/>
    <mergeCell ref="D1693:E1693"/>
    <mergeCell ref="C1694:D1694"/>
    <mergeCell ref="H1696:I1696"/>
    <mergeCell ref="D1684:E1684"/>
    <mergeCell ref="H1684:I1684"/>
    <mergeCell ref="D1685:E1685"/>
    <mergeCell ref="D1686:E1686"/>
    <mergeCell ref="H1686:L1686"/>
    <mergeCell ref="D1687:E1687"/>
    <mergeCell ref="C1682:E1682"/>
    <mergeCell ref="H1682:I1682"/>
    <mergeCell ref="D1683:E1683"/>
    <mergeCell ref="H1683:I1683"/>
    <mergeCell ref="H1664:M1664"/>
    <mergeCell ref="H812:I812"/>
    <mergeCell ref="D797:E797"/>
    <mergeCell ref="H797:I797"/>
    <mergeCell ref="D798:E798"/>
    <mergeCell ref="D799:E799"/>
    <mergeCell ref="H799:L799"/>
    <mergeCell ref="D802:E802"/>
    <mergeCell ref="D581:E581"/>
    <mergeCell ref="H704:I704"/>
    <mergeCell ref="D692:E692"/>
    <mergeCell ref="H594:I594"/>
    <mergeCell ref="H595:I595"/>
    <mergeCell ref="B612:N612"/>
    <mergeCell ref="C614:E614"/>
    <mergeCell ref="H614:I614"/>
    <mergeCell ref="D615:E615"/>
    <mergeCell ref="H615:I615"/>
    <mergeCell ref="H635:M635"/>
    <mergeCell ref="H633:I633"/>
    <mergeCell ref="D616:E616"/>
    <mergeCell ref="H616:I616"/>
    <mergeCell ref="D691:E691"/>
    <mergeCell ref="D617:E617"/>
    <mergeCell ref="D618:E618"/>
    <mergeCell ref="D1649:E1649"/>
    <mergeCell ref="H1649:L1649"/>
    <mergeCell ref="D1650:E1650"/>
    <mergeCell ref="C1645:E1645"/>
    <mergeCell ref="H1645:I1645"/>
    <mergeCell ref="D1646:E1646"/>
    <mergeCell ref="H1646:I1646"/>
    <mergeCell ref="H597:M597"/>
    <mergeCell ref="H689:I689"/>
    <mergeCell ref="D693:E693"/>
    <mergeCell ref="D690:E690"/>
    <mergeCell ref="B687:N687"/>
    <mergeCell ref="B757:N757"/>
    <mergeCell ref="C759:E759"/>
    <mergeCell ref="H759:I759"/>
    <mergeCell ref="D700:E700"/>
    <mergeCell ref="D695:E695"/>
    <mergeCell ref="H1224:M1224"/>
    <mergeCell ref="D1211:E1211"/>
    <mergeCell ref="B793:N793"/>
    <mergeCell ref="B829:N829"/>
    <mergeCell ref="B865:N865"/>
    <mergeCell ref="B1641:N1641"/>
    <mergeCell ref="H814:M814"/>
    <mergeCell ref="B1678:N1678"/>
    <mergeCell ref="B1792:N1792"/>
    <mergeCell ref="H1734:I1734"/>
    <mergeCell ref="D1718:E1718"/>
    <mergeCell ref="H1718:I1718"/>
    <mergeCell ref="D1719:E1719"/>
    <mergeCell ref="D1720:E1720"/>
    <mergeCell ref="H1720:L1720"/>
    <mergeCell ref="C1716:E1716"/>
    <mergeCell ref="H1716:I1716"/>
    <mergeCell ref="D1717:E1717"/>
    <mergeCell ref="H1717:I1717"/>
    <mergeCell ref="H1757:I1757"/>
    <mergeCell ref="H1737:M1737"/>
    <mergeCell ref="D1724:E1724"/>
    <mergeCell ref="B1754:N1754"/>
    <mergeCell ref="H1777:M1777"/>
    <mergeCell ref="D1762:E1762"/>
    <mergeCell ref="D1767:E1767"/>
    <mergeCell ref="C1768:D1768"/>
    <mergeCell ref="C1756:E1756"/>
    <mergeCell ref="H1756:I1756"/>
    <mergeCell ref="D1757:E1757"/>
    <mergeCell ref="B1714:N1714"/>
    <mergeCell ref="H1661:I1661"/>
    <mergeCell ref="D1647:E1647"/>
    <mergeCell ref="H1647:I1647"/>
    <mergeCell ref="D582:E582"/>
    <mergeCell ref="H582:L582"/>
    <mergeCell ref="B576:N576"/>
    <mergeCell ref="C578:E578"/>
    <mergeCell ref="H579:I579"/>
    <mergeCell ref="H578:I578"/>
    <mergeCell ref="D579:E579"/>
    <mergeCell ref="D580:E580"/>
    <mergeCell ref="D584:E584"/>
    <mergeCell ref="D589:E589"/>
    <mergeCell ref="C590:D590"/>
    <mergeCell ref="C689:E689"/>
    <mergeCell ref="H690:I690"/>
    <mergeCell ref="H691:I691"/>
    <mergeCell ref="H693:L693"/>
    <mergeCell ref="H706:M706"/>
    <mergeCell ref="C701:D701"/>
    <mergeCell ref="H703:I703"/>
    <mergeCell ref="H1243:I1243"/>
    <mergeCell ref="D1656:E1656"/>
    <mergeCell ref="D1648:E1648"/>
    <mergeCell ref="H1813:M1813"/>
    <mergeCell ref="D1803:E1803"/>
    <mergeCell ref="H1810:I1810"/>
    <mergeCell ref="D760:E760"/>
    <mergeCell ref="H760:I760"/>
    <mergeCell ref="D761:E761"/>
    <mergeCell ref="H761:I761"/>
    <mergeCell ref="D762:E762"/>
    <mergeCell ref="D763:E763"/>
    <mergeCell ref="H763:L763"/>
    <mergeCell ref="C1794:E1794"/>
    <mergeCell ref="H1794:I1794"/>
    <mergeCell ref="D1795:E1795"/>
    <mergeCell ref="H778:M778"/>
    <mergeCell ref="D770:E770"/>
    <mergeCell ref="D765:E765"/>
    <mergeCell ref="B1239:N1239"/>
    <mergeCell ref="H1258:M1258"/>
    <mergeCell ref="D1247:E1247"/>
    <mergeCell ref="D1252:E1252"/>
    <mergeCell ref="C1253:D1253"/>
    <mergeCell ref="H1255:I1255"/>
    <mergeCell ref="H1256:I1256"/>
    <mergeCell ref="D1243:E1243"/>
    <mergeCell ref="H580:I580"/>
    <mergeCell ref="D435:E435"/>
    <mergeCell ref="D431:E431"/>
    <mergeCell ref="H558:I558"/>
    <mergeCell ref="H559:I559"/>
    <mergeCell ref="H525:M525"/>
    <mergeCell ref="H522:I522"/>
    <mergeCell ref="H523:I523"/>
    <mergeCell ref="B540:N540"/>
    <mergeCell ref="D513:E513"/>
    <mergeCell ref="C514:D514"/>
    <mergeCell ref="H561:M561"/>
    <mergeCell ref="D546:E546"/>
    <mergeCell ref="H546:L546"/>
    <mergeCell ref="D549:E549"/>
    <mergeCell ref="H542:I542"/>
    <mergeCell ref="D543:E543"/>
    <mergeCell ref="D544:E544"/>
    <mergeCell ref="D545:E545"/>
    <mergeCell ref="C542:E542"/>
    <mergeCell ref="H543:I543"/>
    <mergeCell ref="H544:I544"/>
    <mergeCell ref="H443:I443"/>
    <mergeCell ref="H444:I444"/>
    <mergeCell ref="H101:M101"/>
    <mergeCell ref="D86:E86"/>
    <mergeCell ref="D47:E47"/>
    <mergeCell ref="H47:I47"/>
    <mergeCell ref="D48:E48"/>
    <mergeCell ref="D49:E49"/>
    <mergeCell ref="H49:L49"/>
    <mergeCell ref="D51:E51"/>
    <mergeCell ref="H344:I344"/>
    <mergeCell ref="D118:E118"/>
    <mergeCell ref="H118:I118"/>
    <mergeCell ref="D119:E119"/>
    <mergeCell ref="H121:L121"/>
    <mergeCell ref="D128:E128"/>
    <mergeCell ref="C129:D129"/>
    <mergeCell ref="H135:I135"/>
    <mergeCell ref="H136:I136"/>
    <mergeCell ref="B152:N152"/>
    <mergeCell ref="B115:N115"/>
    <mergeCell ref="C117:E117"/>
    <mergeCell ref="H117:I117"/>
    <mergeCell ref="D317:E317"/>
    <mergeCell ref="H311:I311"/>
    <mergeCell ref="D189:E189"/>
    <mergeCell ref="H119:I119"/>
    <mergeCell ref="D120:E120"/>
    <mergeCell ref="D123:E123"/>
    <mergeCell ref="D121:E121"/>
    <mergeCell ref="B383:N383"/>
    <mergeCell ref="C385:E385"/>
    <mergeCell ref="H385:I385"/>
    <mergeCell ref="H368:M368"/>
    <mergeCell ref="B341:N341"/>
    <mergeCell ref="C343:E343"/>
    <mergeCell ref="H343:I343"/>
    <mergeCell ref="D311:E311"/>
    <mergeCell ref="H323:I323"/>
    <mergeCell ref="D313:E313"/>
    <mergeCell ref="D312:E312"/>
    <mergeCell ref="H189:I189"/>
    <mergeCell ref="D190:E190"/>
    <mergeCell ref="H191:L191"/>
    <mergeCell ref="H210:I210"/>
    <mergeCell ref="D194:E194"/>
    <mergeCell ref="D191:E191"/>
    <mergeCell ref="H212:M212"/>
    <mergeCell ref="H209:I209"/>
    <mergeCell ref="D156:E156"/>
    <mergeCell ref="D471:E471"/>
    <mergeCell ref="B461:N461"/>
    <mergeCell ref="C465:E465"/>
    <mergeCell ref="H465:I465"/>
    <mergeCell ref="D466:E466"/>
    <mergeCell ref="H446:M446"/>
    <mergeCell ref="H466:I466"/>
    <mergeCell ref="D467:E467"/>
    <mergeCell ref="H467:I467"/>
    <mergeCell ref="D468:E468"/>
    <mergeCell ref="D469:E469"/>
    <mergeCell ref="H469:L469"/>
    <mergeCell ref="C463:E463"/>
    <mergeCell ref="D505:E505"/>
    <mergeCell ref="H506:L506"/>
    <mergeCell ref="H484:M484"/>
    <mergeCell ref="D476:E476"/>
    <mergeCell ref="C477:D477"/>
    <mergeCell ref="H481:I481"/>
    <mergeCell ref="D503:E503"/>
    <mergeCell ref="H503:I503"/>
    <mergeCell ref="C502:E502"/>
    <mergeCell ref="H502:I502"/>
    <mergeCell ref="C500:E500"/>
    <mergeCell ref="B498:N498"/>
    <mergeCell ref="H482:I482"/>
    <mergeCell ref="D157:E157"/>
    <mergeCell ref="D159:E159"/>
    <mergeCell ref="H157:L157"/>
    <mergeCell ref="B185:N185"/>
    <mergeCell ref="C187:E187"/>
    <mergeCell ref="H187:I187"/>
    <mergeCell ref="D188:E188"/>
    <mergeCell ref="H188:I188"/>
    <mergeCell ref="J2:M2"/>
    <mergeCell ref="B78:N78"/>
    <mergeCell ref="C80:E80"/>
    <mergeCell ref="H80:I80"/>
    <mergeCell ref="C57:D57"/>
    <mergeCell ref="D91:E91"/>
    <mergeCell ref="C92:D92"/>
    <mergeCell ref="H98:I98"/>
    <mergeCell ref="D81:E81"/>
    <mergeCell ref="H81:I81"/>
    <mergeCell ref="D82:E82"/>
    <mergeCell ref="H82:I82"/>
    <mergeCell ref="D83:E83"/>
    <mergeCell ref="D84:E84"/>
    <mergeCell ref="H84:L84"/>
    <mergeCell ref="H60:I60"/>
    <mergeCell ref="H61:I61"/>
    <mergeCell ref="B43:N43"/>
    <mergeCell ref="C45:E45"/>
    <mergeCell ref="H45:I45"/>
    <mergeCell ref="D46:E46"/>
    <mergeCell ref="H46:I46"/>
    <mergeCell ref="H63:M63"/>
    <mergeCell ref="B8:N8"/>
    <mergeCell ref="H138:M138"/>
    <mergeCell ref="H99:I99"/>
    <mergeCell ref="D16:E16"/>
    <mergeCell ref="C22:D22"/>
    <mergeCell ref="H25:I25"/>
    <mergeCell ref="H26:I26"/>
    <mergeCell ref="H28:M28"/>
    <mergeCell ref="C10:E10"/>
    <mergeCell ref="H10:I10"/>
    <mergeCell ref="D11:E11"/>
    <mergeCell ref="H11:I11"/>
    <mergeCell ref="D12:E12"/>
    <mergeCell ref="H12:I12"/>
    <mergeCell ref="D13:E13"/>
    <mergeCell ref="D14:E14"/>
    <mergeCell ref="H14:L14"/>
    <mergeCell ref="D165:E165"/>
    <mergeCell ref="C166:D166"/>
    <mergeCell ref="H170:M170"/>
    <mergeCell ref="D163:E163"/>
    <mergeCell ref="H167:I167"/>
    <mergeCell ref="H1222:I1222"/>
    <mergeCell ref="D1207:E1207"/>
    <mergeCell ref="C1205:E1205"/>
    <mergeCell ref="H1205:I1205"/>
    <mergeCell ref="D1206:E1206"/>
    <mergeCell ref="H1206:I1206"/>
    <mergeCell ref="C808:D808"/>
    <mergeCell ref="C884:D884"/>
    <mergeCell ref="C441:D441"/>
    <mergeCell ref="C323:D323"/>
    <mergeCell ref="D391:E391"/>
    <mergeCell ref="D396:E396"/>
    <mergeCell ref="C397:D397"/>
    <mergeCell ref="H407:I407"/>
    <mergeCell ref="H410:M410"/>
    <mergeCell ref="C427:E427"/>
    <mergeCell ref="H427:I427"/>
    <mergeCell ref="D428:E428"/>
    <mergeCell ref="H428:I428"/>
    <mergeCell ref="H154:I154"/>
    <mergeCell ref="D155:E155"/>
    <mergeCell ref="H155:I155"/>
    <mergeCell ref="C153:E153"/>
    <mergeCell ref="H153:I153"/>
    <mergeCell ref="D154:E154"/>
    <mergeCell ref="H168:I168"/>
    <mergeCell ref="D1245:E1245"/>
    <mergeCell ref="H1245:L1245"/>
    <mergeCell ref="H290:I290"/>
    <mergeCell ref="H291:I291"/>
    <mergeCell ref="H293:M293"/>
    <mergeCell ref="H267:I267"/>
    <mergeCell ref="D268:E268"/>
    <mergeCell ref="H268:I268"/>
    <mergeCell ref="D269:E269"/>
    <mergeCell ref="D270:E270"/>
    <mergeCell ref="D430:E430"/>
    <mergeCell ref="H386:I386"/>
    <mergeCell ref="D387:E387"/>
    <mergeCell ref="H387:I387"/>
    <mergeCell ref="D388:E388"/>
    <mergeCell ref="D389:E389"/>
    <mergeCell ref="H389:L389"/>
    <mergeCell ref="C1809:D1809"/>
    <mergeCell ref="H1207:I1207"/>
    <mergeCell ref="D1208:E1208"/>
    <mergeCell ref="D1209:E1209"/>
    <mergeCell ref="H1209:L1209"/>
    <mergeCell ref="H1795:I1795"/>
    <mergeCell ref="D1796:E1796"/>
    <mergeCell ref="H1796:I1796"/>
    <mergeCell ref="D1797:E1797"/>
    <mergeCell ref="D1798:E1798"/>
    <mergeCell ref="H1798:L1798"/>
    <mergeCell ref="H1774:I1774"/>
    <mergeCell ref="D1758:E1758"/>
    <mergeCell ref="H1758:I1758"/>
    <mergeCell ref="D1759:E1759"/>
    <mergeCell ref="D1760:E1760"/>
    <mergeCell ref="H1760:L1760"/>
    <mergeCell ref="D1216:E1216"/>
    <mergeCell ref="C1217:D1217"/>
    <mergeCell ref="H1221:I1221"/>
    <mergeCell ref="D1242:E1242"/>
    <mergeCell ref="H1242:I1242"/>
    <mergeCell ref="D1651:E1651"/>
    <mergeCell ref="C1657:D1657"/>
    <mergeCell ref="H431:L431"/>
    <mergeCell ref="B307:N307"/>
    <mergeCell ref="C309:E309"/>
    <mergeCell ref="H313:L313"/>
    <mergeCell ref="H326:M326"/>
    <mergeCell ref="H324:I324"/>
    <mergeCell ref="H309:I309"/>
    <mergeCell ref="D310:E310"/>
    <mergeCell ref="H310:I310"/>
    <mergeCell ref="B425:N425"/>
    <mergeCell ref="D349:E349"/>
    <mergeCell ref="D354:E354"/>
    <mergeCell ref="C355:D355"/>
    <mergeCell ref="D429:E429"/>
    <mergeCell ref="H429:I429"/>
    <mergeCell ref="B264:N264"/>
    <mergeCell ref="C266:E266"/>
    <mergeCell ref="H266:I266"/>
    <mergeCell ref="D267:E267"/>
    <mergeCell ref="H270:L270"/>
    <mergeCell ref="D272:E272"/>
    <mergeCell ref="D277:E277"/>
    <mergeCell ref="C278:D278"/>
    <mergeCell ref="C1241:E1241"/>
    <mergeCell ref="H1241:I1241"/>
    <mergeCell ref="H365:I365"/>
    <mergeCell ref="H366:I366"/>
    <mergeCell ref="D344:E344"/>
    <mergeCell ref="D345:E345"/>
    <mergeCell ref="H345:I345"/>
    <mergeCell ref="D346:E346"/>
    <mergeCell ref="D347:E347"/>
    <mergeCell ref="H347:L347"/>
    <mergeCell ref="H408:I408"/>
    <mergeCell ref="D386:E386"/>
    <mergeCell ref="D508:E508"/>
    <mergeCell ref="D506:E506"/>
    <mergeCell ref="D504:E504"/>
    <mergeCell ref="H504:I504"/>
    <mergeCell ref="H1143:I1143"/>
    <mergeCell ref="H1145:M1145"/>
    <mergeCell ref="H1129:I1129"/>
    <mergeCell ref="D1130:E1130"/>
    <mergeCell ref="H1130:I1130"/>
    <mergeCell ref="D1131:E1131"/>
    <mergeCell ref="D1132:E1132"/>
    <mergeCell ref="C1128:E1128"/>
    <mergeCell ref="H1128:I1128"/>
    <mergeCell ref="D1129:E1129"/>
    <mergeCell ref="H1132:L1132"/>
    <mergeCell ref="D1134:E1134"/>
    <mergeCell ref="D1139:E1139"/>
    <mergeCell ref="C1140:D1140"/>
    <mergeCell ref="H1142:I1142"/>
    <mergeCell ref="H246:I246"/>
    <mergeCell ref="D236:E236"/>
    <mergeCell ref="B227:N227"/>
    <mergeCell ref="C229:E229"/>
    <mergeCell ref="H229:I229"/>
    <mergeCell ref="D230:E230"/>
    <mergeCell ref="H230:I230"/>
    <mergeCell ref="D231:E231"/>
    <mergeCell ref="H231:I231"/>
    <mergeCell ref="D232:E232"/>
    <mergeCell ref="D233:E233"/>
    <mergeCell ref="H233:L233"/>
  </mergeCells>
  <dataValidations count="6">
    <dataValidation type="list" allowBlank="1" showInputMessage="1" showErrorMessage="1" sqref="D60:D61 D1541:D1542 D169:D170 D203:D204 D326:D327 D358:D359 D400:D401 D444:D445 D480:D481 D517:D518 D558:D559 D593:D594 D704:D705 D774:D775 D1812:D1813 D95:D96 D1771:D1772 D1733:D1734 D1660:D1661 D1697:D1698 D1579:D1580 D1615:D1616 D629:D630 D811:D812 D846:D847 D887:D888 D927:D928 D973:D974 D1065:D1066 D1102:D1103 D1177:D1178 D1220:D1221 D1256:D1257 D1291:D1292 D1333:D1334 D1377:D1378 D1417:D1418 D1459:D1460 D1505:D1506 D132:D133 D281:D282 D1143:D1144 D245:D246 D25:D26 D739:D740 D666:D667" xr:uid="{00000000-0002-0000-0500-000000000000}">
      <formula1>"ARS,USD,ARS/USD"</formula1>
    </dataValidation>
    <dataValidation type="list" allowBlank="1" showInputMessage="1" showErrorMessage="1" sqref="D49:E49 D1530:E1530 D157:E157 D191:E191 D313:E313 D347:E347 D389:E389 D431:E431 D469:E469 D506:E506 D546:E546 D582:E582 D693:E693 D763:E763 D1798:E1798 D84:E84 D1760:E1760 D1720:E1720 D1649:E1649 D1686:E1686 D1568:E1568 D1604:E1604 D618:E618 D799:E799 D835:E835 D873:E873 D916:E916 D962:E962 D1054:E1054 D1091:E1091 D1166:E1166 D1209:E1209 D1245:E1245 D1280:E1280 D1322:E1322 D1364:E1364 D1406:E1406 D1448:E1448 D1494:E1494 D121:E121 D270:E270 D1132:E1132 D233:E233 D14:E14 D727:E727 D655:E655" xr:uid="{00000000-0002-0000-0500-000001000000}">
      <formula1>"ON Pyme CNV Garantizada, Régimen General, ON Pyme, VCP"</formula1>
    </dataValidation>
    <dataValidation type="list" allowBlank="1" showInputMessage="1" showErrorMessage="1" sqref="D59 D1540 D168 D202 D325 D357 D399 D443 D479 D516 D557 D592 D703 D773 D1811 D94 D1770 D1732 D1659 D1696 D1578 D1614 D628 D810 D845 D886 D926 D972 D1064 D1101 D1176 D1219 D1255 D1290 D1332 D1376 D1416 D1458 D1504 D131 D280 D1142 D244 D24 D738 D665" xr:uid="{00000000-0002-0000-0500-000002000000}">
      <formula1>"ARS,USD"</formula1>
    </dataValidation>
    <dataValidation type="list" allowBlank="1" showInputMessage="1" showErrorMessage="1" sqref="D52:D54 D1371 D160:D162 D195:D197 D318:D320 D350:D352 D392:D394 D1533:D1535 D472:D474 D509:D511 D550:D552 D585:D587 D438 D766:D768 D1804:D1806 D87:D89 D1763:D1765 D1725:D1727 D1652:D1654 D1689:D1691 D1571:D1573 D1607:D1609 D621:D623 D803:D805 D838:D840 D879:D881 D919:D921 D965:D967 D1057:D1059 D1094:D1096 D698 D1212:D1214 D1248:D1250 D1283:D1285 D1171 D1327 D1409:D1411 D1451:D1453 D1497:D1499 D436 D696 D1169 D1325 D1369 D124:D126 D273:D275 D1135:D1137 D237:D239 D17:D19 D731:D733 D658:D660" xr:uid="{00000000-0002-0000-0500-000003000000}">
      <formula1>"Individualización N°, Suspensión N°, Rueda Reducida N°"</formula1>
    </dataValidation>
    <dataValidation type="list" allowBlank="1" showInputMessage="1" showErrorMessage="1" sqref="D437 D697 D1170 D1326 D1370" xr:uid="{00000000-0002-0000-0500-000004000000}">
      <formula1>"Individualización N°,Individualización 2 N°, Suspensión N°, Rueda Reducida N°"</formula1>
    </dataValidation>
    <dataValidation type="list" allowBlank="1" showInputMessage="1" showErrorMessage="1" sqref="D85 D470 D1721:D1723 D1365:D1367 D874:D877 D547:D548 D432:D434 D314:D316 D192:D193 D1799:D1802 D348 D390 D583 D694 D764 D836 D1055 D1092 D1167 D1210 D1246 D1281 D1407 D1495 D1531 D1569 D1605 D1761 D1449 D1323 D800:D801 D234:D235" xr:uid="{00000000-0002-0000-0500-000005000000}">
      <formula1>$B$5:$B$84</formula1>
    </dataValidation>
  </dataValidations>
  <pageMargins left="0.7" right="0.7" top="0.75" bottom="0.75" header="0.3" footer="0.3"/>
  <pageSetup scale="6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6000000}">
          <x14:formula1>
            <xm:f>'ENTIDADES DE GARANTIA'!$C$13:$C$61</xm:f>
          </x14:formula1>
          <xm:sqref>D158 D271 D122</xm:sqref>
        </x14:dataValidation>
        <x14:dataValidation type="list" allowBlank="1" showInputMessage="1" showErrorMessage="1" xr:uid="{00000000-0002-0000-0500-000007000000}">
          <x14:formula1>
            <xm:f>'ENTIDADES DE GARANTIA'!$C$13:$C$56</xm:f>
          </x14:formula1>
          <xm:sqref>D50 D728:D729 D15</xm:sqref>
        </x14:dataValidation>
        <x14:dataValidation type="list" allowBlank="1" showInputMessage="1" showErrorMessage="1" xr:uid="{00000000-0002-0000-0500-000008000000}">
          <x14:formula1>
            <xm:f>'ENTIDADES DE GARANTIA'!$C$12:$C$62</xm:f>
          </x14:formula1>
          <xm:sqref>D507</xm:sqref>
        </x14:dataValidation>
        <x14:dataValidation type="list" allowBlank="1" showInputMessage="1" showErrorMessage="1" xr:uid="{00000000-0002-0000-0500-000009000000}">
          <x14:formula1>
            <xm:f>'ENTIDADES DE GARANTIA'!$C$12:$C$61</xm:f>
          </x14:formula1>
          <xm:sqref>D1133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2" t="s">
        <v>68</v>
      </c>
      <c r="L2" s="702"/>
      <c r="M2" s="702"/>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45861</v>
      </c>
      <c r="N4" s="25"/>
    </row>
    <row r="5" spans="2:17" ht="18" customHeight="1" x14ac:dyDescent="0.25">
      <c r="B5" s="23"/>
      <c r="C5" s="24"/>
      <c r="D5" s="24"/>
      <c r="E5" s="24"/>
      <c r="F5" s="24"/>
      <c r="G5" s="24"/>
      <c r="H5" s="24"/>
      <c r="I5" s="24"/>
      <c r="J5" s="24"/>
      <c r="K5" s="24"/>
      <c r="L5" s="693" t="s">
        <v>1</v>
      </c>
      <c r="M5" s="695"/>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8" t="s">
        <v>37</v>
      </c>
      <c r="D8" s="639"/>
      <c r="E8" s="640"/>
      <c r="F8" s="31"/>
      <c r="G8" s="87"/>
      <c r="H8" s="641" t="s">
        <v>28</v>
      </c>
      <c r="I8" s="642"/>
      <c r="J8" s="39">
        <f>+$D$26-SUMIF($H$14:$H$22,"&lt;"&amp;$M$4,$K$14:$K$22)</f>
        <v>0</v>
      </c>
      <c r="K8" s="24"/>
      <c r="L8" s="24"/>
      <c r="M8" s="24"/>
      <c r="N8" s="25"/>
      <c r="O8" s="194" t="str">
        <f>+D12</f>
        <v>ON Pyme CNV Garantizada</v>
      </c>
    </row>
    <row r="9" spans="2:17" ht="15.95" customHeight="1" x14ac:dyDescent="0.25">
      <c r="B9" s="23"/>
      <c r="C9" s="58"/>
      <c r="D9" s="664"/>
      <c r="E9" s="665"/>
      <c r="F9" s="31"/>
      <c r="G9" s="87"/>
      <c r="H9" s="645" t="s">
        <v>29</v>
      </c>
      <c r="I9" s="646"/>
      <c r="J9" s="40">
        <f>+$D$25</f>
        <v>44193</v>
      </c>
      <c r="K9" s="24"/>
      <c r="L9" s="24"/>
      <c r="M9" s="24"/>
      <c r="N9" s="25"/>
      <c r="O9" s="195"/>
    </row>
    <row r="10" spans="2:17" ht="15.95" customHeight="1" x14ac:dyDescent="0.25">
      <c r="B10" s="23"/>
      <c r="C10" s="59" t="s">
        <v>25</v>
      </c>
      <c r="D10" s="658"/>
      <c r="E10" s="659"/>
      <c r="F10" s="31"/>
      <c r="G10" s="87"/>
      <c r="H10" s="649" t="s">
        <v>30</v>
      </c>
      <c r="I10" s="650"/>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58" t="s">
        <v>69</v>
      </c>
      <c r="E11" s="659"/>
      <c r="F11" s="31"/>
      <c r="G11" s="87"/>
      <c r="H11" s="24"/>
      <c r="I11" s="24"/>
      <c r="J11" s="24"/>
      <c r="K11" s="24"/>
      <c r="L11" s="24"/>
      <c r="M11" s="24"/>
      <c r="N11" s="25"/>
      <c r="O11" s="195"/>
    </row>
    <row r="12" spans="2:17" ht="15.95" customHeight="1" x14ac:dyDescent="0.25">
      <c r="B12" s="23"/>
      <c r="C12" s="59" t="s">
        <v>8</v>
      </c>
      <c r="D12" s="658" t="s">
        <v>17</v>
      </c>
      <c r="E12" s="659"/>
      <c r="F12" s="31"/>
      <c r="G12" s="87"/>
      <c r="H12" s="651" t="s">
        <v>41</v>
      </c>
      <c r="I12" s="652"/>
      <c r="J12" s="652"/>
      <c r="K12" s="652"/>
      <c r="L12" s="653"/>
      <c r="M12" s="24"/>
      <c r="N12" s="25"/>
      <c r="O12" s="195"/>
    </row>
    <row r="13" spans="2:17" ht="15.95" customHeight="1" x14ac:dyDescent="0.25">
      <c r="B13" s="23"/>
      <c r="C13" s="59" t="s">
        <v>33</v>
      </c>
      <c r="D13" s="73" t="s">
        <v>309</v>
      </c>
      <c r="E13" s="273">
        <v>1</v>
      </c>
      <c r="F13" s="31"/>
      <c r="G13" s="87"/>
      <c r="H13" s="81" t="s">
        <v>0</v>
      </c>
      <c r="I13" s="82" t="s">
        <v>2</v>
      </c>
      <c r="J13" s="82" t="s">
        <v>3</v>
      </c>
      <c r="K13" s="82" t="s">
        <v>4</v>
      </c>
      <c r="L13" s="83" t="s">
        <v>5</v>
      </c>
      <c r="M13" s="82" t="s">
        <v>44</v>
      </c>
      <c r="N13" s="25"/>
      <c r="O13" s="195"/>
    </row>
    <row r="14" spans="2:17" ht="15.95" customHeight="1" x14ac:dyDescent="0.25">
      <c r="B14" s="23"/>
      <c r="C14" s="59" t="s">
        <v>34</v>
      </c>
      <c r="D14" s="658" t="s">
        <v>48</v>
      </c>
      <c r="E14" s="659"/>
      <c r="F14" s="31"/>
      <c r="G14" s="87"/>
      <c r="H14" s="45"/>
      <c r="I14" s="46"/>
      <c r="J14" s="46"/>
      <c r="K14" s="46"/>
      <c r="L14" s="47"/>
      <c r="M14" s="23"/>
      <c r="N14" s="25"/>
      <c r="O14" s="195"/>
    </row>
    <row r="15" spans="2:17" ht="15.95" customHeight="1" x14ac:dyDescent="0.25">
      <c r="B15" s="23"/>
      <c r="C15" s="79" t="s">
        <v>38</v>
      </c>
      <c r="D15" s="75"/>
      <c r="E15" s="76"/>
      <c r="F15" s="31"/>
      <c r="G15" s="87"/>
      <c r="H15" s="48">
        <f>+$D$24</f>
        <v>43097</v>
      </c>
      <c r="I15" s="70"/>
      <c r="J15" s="49"/>
      <c r="K15" s="49"/>
      <c r="L15" s="50">
        <f>+D26</f>
        <v>20000000</v>
      </c>
      <c r="M15" s="93">
        <f>-L15</f>
        <v>-20000000</v>
      </c>
      <c r="N15" s="25"/>
      <c r="O15" s="197">
        <f>+M15</f>
        <v>-20000000</v>
      </c>
      <c r="P15" s="197">
        <f>-M15</f>
        <v>20000000</v>
      </c>
      <c r="Q15" s="197"/>
    </row>
    <row r="16" spans="2:17" ht="15.95" customHeight="1" x14ac:dyDescent="0.25">
      <c r="B16" s="23"/>
      <c r="C16" s="59"/>
      <c r="D16" s="73"/>
      <c r="E16" s="74"/>
      <c r="F16" s="31"/>
      <c r="G16" s="87"/>
      <c r="H16" s="51">
        <f>IF(DAY(H15)=DAY($H$15),IF(WEEKDAY(EDATE(H15,$D$27),3)&lt;5,EDATE(H15,$D$27),WORKDAY(EDATE(H15,$D$27),1)),IF(WEEKDAY(EDATE($H$15,$D$27*COUNT($H$15:H15)),3)&lt;5,EDATE($H$15,$D$27*COUNT($H$15:H15)),WORKDAY(EDATE($H$15,$D$27*COUNT($H$15:H15)),1)))</f>
        <v>43279</v>
      </c>
      <c r="I16" s="71" t="s">
        <v>7</v>
      </c>
      <c r="J16" s="52">
        <f>(IF(AND($D$30&lt;&gt;"",$D$30&gt;(AVERAGE(VLOOKUP(WORKDAY.INTL(H16,-7,1,),'Tasas-TC'!A:B,2,FALSE),VLOOKUP(WORKDAY.INTL(H15,-7,1,),'Tasas-TC'!A:B,2,FALSE))+$D$29)),$D$30,IF(AND($D$31&lt;&gt;"",$D$31&lt;(AVERAGE(VLOOKUP(WORKDAY.INTL(H16,-7,1,),'Tasas-TC'!A:B,2,FALSE),VLOOKUP(WORKDAY.INTL(H15,-7,1,),'Tasas-TC'!A:B,2,FALSE))+$D$29)),$D$31,(AVERAGE(VLOOKUP(WORKDAY.INTL(H16,-7,1,),'Tasas-TC'!A:B,2,FALSE),VLOOKUP(WORKDAY.INTL(H15,-7,1,),'Tasas-TC'!A:B,2,FALSE))+$D$29)))/360)*(H16-H15)*L15</f>
        <v>3437777.777777778</v>
      </c>
      <c r="K16" s="52">
        <f t="shared" ref="K16:K21" si="0">+IF(OR(I16="A + C",I16="A"),$D$26*$D$32,0)</f>
        <v>0</v>
      </c>
      <c r="L16" s="53">
        <f t="shared" ref="L16:L21" si="1">+L15-K16</f>
        <v>20000000</v>
      </c>
      <c r="M16" s="94">
        <f t="shared" ref="M16:M21" si="2">+J16+K16</f>
        <v>3437777.777777778</v>
      </c>
      <c r="N16" s="25"/>
      <c r="O16" s="197">
        <f t="shared" ref="O16:O21" si="3">+M16+O15</f>
        <v>-16562222.222222222</v>
      </c>
      <c r="P16" s="197">
        <f>+(M16/(1+$J$25)^((H16-$H$15)/365))/$P$15</f>
        <v>0.1466829222316306</v>
      </c>
      <c r="Q16" s="197">
        <f>+P16*((H16-$H$15)/365)</f>
        <v>7.314052560590896E-2</v>
      </c>
    </row>
    <row r="17" spans="2:17" ht="15.95" customHeight="1" x14ac:dyDescent="0.25">
      <c r="B17" s="23"/>
      <c r="C17" s="60"/>
      <c r="D17" s="77"/>
      <c r="E17" s="78"/>
      <c r="F17" s="34"/>
      <c r="G17" s="88"/>
      <c r="H17" s="51">
        <f>IF(DAY(H16)=DAY($H$15),IF(WEEKDAY(EDATE(H16,$D$27),3)&lt;5,EDATE(H16,$D$27),WORKDAY(EDATE(H16,$D$27),1)),IF(WEEKDAY(EDATE($H$15,$D$27*COUNT($H$15:H16)),3)&lt;5,EDATE($H$15,$D$27*COUNT($H$15:H16)),WORKDAY(EDATE($H$15,$D$27*COUNT($H$15:H16)),1)))</f>
        <v>43462</v>
      </c>
      <c r="I17" s="71" t="s">
        <v>13</v>
      </c>
      <c r="J17" s="52">
        <f>(IF(AND($D$30&lt;&gt;"",$D$30&gt;(AVERAGE(VLOOKUP(WORKDAY.INTL(H17,-7,1,),'Tasas-TC'!A:B,2,FALSE),VLOOKUP(WORKDAY.INTL(H16,-7,1,),'Tasas-TC'!A:B,2,FALSE))+$D$29)),$D$30,IF(AND($D$31&lt;&gt;"",$D$31&lt;(AVERAGE(VLOOKUP(WORKDAY.INTL(H17,-7,1,),'Tasas-TC'!A:B,2,FALSE),VLOOKUP(WORKDAY.INTL(H16,-7,1,),'Tasas-TC'!A:B,2,FALSE))+$D$29)),$D$31,(AVERAGE(VLOOKUP(WORKDAY.INTL(H17,-7,1,),'Tasas-TC'!A:B,2,FALSE),VLOOKUP(WORKDAY.INTL(H16,-7,1,),'Tasas-TC'!A:B,2,FALSE))+$D$29)))/360)*(H17-H16)*L16</f>
        <v>3456666.666666667</v>
      </c>
      <c r="K17" s="52">
        <f t="shared" si="0"/>
        <v>4000000</v>
      </c>
      <c r="L17" s="53">
        <f t="shared" si="1"/>
        <v>16000000</v>
      </c>
      <c r="M17" s="94">
        <f t="shared" si="2"/>
        <v>7456666.666666667</v>
      </c>
      <c r="N17" s="25"/>
      <c r="O17" s="197">
        <f t="shared" si="3"/>
        <v>-9105555.555555556</v>
      </c>
      <c r="P17" s="197">
        <f t="shared" ref="P17:P21" si="4">+(M17/(1+$J$25)^((H17-$H$15)/365))/$P$15</f>
        <v>0.27126879303615403</v>
      </c>
      <c r="Q17" s="197">
        <f t="shared" ref="Q17:Q21" si="5">+P17*((H17-$H$15)/365)</f>
        <v>0.27126879303615403</v>
      </c>
    </row>
    <row r="18" spans="2:17" ht="15.95" customHeight="1" x14ac:dyDescent="0.25">
      <c r="B18" s="23"/>
      <c r="C18" s="60"/>
      <c r="D18" s="666"/>
      <c r="E18" s="667"/>
      <c r="F18" s="34"/>
      <c r="G18" s="88"/>
      <c r="H18" s="51">
        <f>IF(DAY(H17)=DAY($H$15),IF(WEEKDAY(EDATE(H17,$D$27),3)&lt;5,EDATE(H17,$D$27),WORKDAY(EDATE(H17,$D$27),1)),IF(WEEKDAY(EDATE($H$15,$D$27*COUNT($H$15:H17)),3)&lt;5,EDATE($H$15,$D$27*COUNT($H$15:H17)),WORKDAY(EDATE($H$15,$D$27*COUNT($H$15:H17)),1)))</f>
        <v>43644</v>
      </c>
      <c r="I18" s="71" t="s">
        <v>13</v>
      </c>
      <c r="J18" s="52">
        <f>(IF(AND($D$30&lt;&gt;"",$D$30&gt;(AVERAGE(VLOOKUP(WORKDAY.INTL(H18,-7,1,),'Tasas-TC'!A:B,2,FALSE),VLOOKUP(WORKDAY.INTL(H17,-7,1,),'Tasas-TC'!A:B,2,FALSE))+$D$29)),$D$30,IF(AND($D$31&lt;&gt;"",$D$31&lt;(AVERAGE(VLOOKUP(WORKDAY.INTL(H18,-7,1,),'Tasas-TC'!A:B,2,FALSE),VLOOKUP(WORKDAY.INTL(H17,-7,1,),'Tasas-TC'!A:B,2,FALSE))+$D$29)),$D$31,(AVERAGE(VLOOKUP(WORKDAY.INTL(H18,-7,1,),'Tasas-TC'!A:B,2,FALSE),VLOOKUP(WORKDAY.INTL(H17,-7,1,),'Tasas-TC'!A:B,2,FALSE))+$D$29)))/360)*(H18-H17)*L17</f>
        <v>2750222.2222222225</v>
      </c>
      <c r="K18" s="52">
        <f t="shared" si="0"/>
        <v>4000000</v>
      </c>
      <c r="L18" s="53">
        <f t="shared" si="1"/>
        <v>12000000</v>
      </c>
      <c r="M18" s="94">
        <f t="shared" si="2"/>
        <v>6750222.222222222</v>
      </c>
      <c r="N18" s="25"/>
      <c r="O18" s="197">
        <f t="shared" si="3"/>
        <v>-2355333.333333334</v>
      </c>
      <c r="P18" s="197">
        <f t="shared" si="4"/>
        <v>0.20955832825850082</v>
      </c>
      <c r="Q18" s="197">
        <f t="shared" si="5"/>
        <v>0.31405042618465739</v>
      </c>
    </row>
    <row r="19" spans="2:17" ht="15.95" customHeight="1" x14ac:dyDescent="0.25">
      <c r="B19" s="32"/>
      <c r="D19" s="644"/>
      <c r="E19" s="660"/>
      <c r="F19" s="34"/>
      <c r="G19" s="88"/>
      <c r="H19" s="51">
        <f>IF(DAY(H18)=DAY($H$15),IF(WEEKDAY(EDATE(H18,$D$27),3)&lt;5,EDATE(H18,$D$27),WORKDAY(EDATE(H18,$D$27),1)),IF(WEEKDAY(EDATE($H$15,$D$27*COUNT($H$15:H18)),3)&lt;5,EDATE($H$15,$D$27*COUNT($H$15:H18)),WORKDAY(EDATE($H$15,$D$27*COUNT($H$15:H18)),1)))</f>
        <v>43829</v>
      </c>
      <c r="I19" s="71" t="s">
        <v>13</v>
      </c>
      <c r="J19" s="52">
        <f>(IF(AND($D$30&lt;&gt;"",$D$30&gt;(AVERAGE(VLOOKUP(WORKDAY.INTL(H19,-7,1,),'Tasas-TC'!A:B,2,FALSE),VLOOKUP(WORKDAY.INTL(H18,-7,1,),'Tasas-TC'!A:B,2,FALSE))+$D$29)),$D$30,IF(AND($D$31&lt;&gt;"",$D$31&lt;(AVERAGE(VLOOKUP(WORKDAY.INTL(H19,-7,1,),'Tasas-TC'!A:B,2,FALSE),VLOOKUP(WORKDAY.INTL(H18,-7,1,),'Tasas-TC'!A:B,2,FALSE))+$D$29)),$D$31,(AVERAGE(VLOOKUP(WORKDAY.INTL(H19,-7,1,),'Tasas-TC'!A:B,2,FALSE),VLOOKUP(WORKDAY.INTL(H18,-7,1,),'Tasas-TC'!A:B,2,FALSE))+$D$29)))/360)*(H19-H18)*L18</f>
        <v>2096666.6666666667</v>
      </c>
      <c r="K19" s="52">
        <f t="shared" si="0"/>
        <v>4000000</v>
      </c>
      <c r="L19" s="53">
        <f t="shared" si="1"/>
        <v>8000000</v>
      </c>
      <c r="M19" s="94">
        <f t="shared" si="2"/>
        <v>6096666.666666667</v>
      </c>
      <c r="N19" s="25"/>
      <c r="O19" s="197">
        <f t="shared" si="3"/>
        <v>3741333.333333333</v>
      </c>
      <c r="P19" s="197">
        <f t="shared" si="4"/>
        <v>0.16109270121211267</v>
      </c>
      <c r="Q19" s="197">
        <f t="shared" si="5"/>
        <v>0.32306810215689447</v>
      </c>
    </row>
    <row r="20" spans="2:17" ht="15.95" customHeight="1" x14ac:dyDescent="0.25">
      <c r="B20" s="23"/>
      <c r="C20" s="638" t="s">
        <v>36</v>
      </c>
      <c r="D20" s="640"/>
      <c r="E20" s="36"/>
      <c r="F20" s="34"/>
      <c r="G20" s="88"/>
      <c r="H20" s="51">
        <f>IF(DAY(H19)=DAY($H$15),IF(WEEKDAY(EDATE(H19,$D$27),3)&lt;5,EDATE(H19,$D$27),WORKDAY(EDATE(H19,$D$27),1)),IF(WEEKDAY(EDATE($H$15,$D$27*COUNT($H$15:H19)),3)&lt;5,EDATE($H$15,$D$27*COUNT($H$15:H19)),WORKDAY(EDATE($H$15,$D$27*COUNT($H$15:H19)),1)))</f>
        <v>44011</v>
      </c>
      <c r="I20" s="71" t="s">
        <v>13</v>
      </c>
      <c r="J20" s="52">
        <f>(IF(AND($D$30&lt;&gt;"",$D$30&gt;(AVERAGE(VLOOKUP(WORKDAY.INTL(H20,-7,1,),'Tasas-TC'!A:B,2,FALSE),VLOOKUP(WORKDAY.INTL(H19,-7,1,),'Tasas-TC'!A:B,2,FALSE))+$D$29)),$D$30,IF(AND($D$31&lt;&gt;"",$D$31&lt;(AVERAGE(VLOOKUP(WORKDAY.INTL(H20,-7,1,),'Tasas-TC'!A:B,2,FALSE),VLOOKUP(WORKDAY.INTL(H19,-7,1,),'Tasas-TC'!A:B,2,FALSE))+$D$29)),$D$31,(AVERAGE(VLOOKUP(WORKDAY.INTL(H20,-7,1,),'Tasas-TC'!A:B,2,FALSE),VLOOKUP(WORKDAY.INTL(H19,-7,1,),'Tasas-TC'!A:B,2,FALSE))+$D$29)))/360)*(H20-H19)*L19</f>
        <v>1375111.1111111112</v>
      </c>
      <c r="K20" s="52">
        <f t="shared" si="0"/>
        <v>4000000</v>
      </c>
      <c r="L20" s="53">
        <f t="shared" si="1"/>
        <v>4000000</v>
      </c>
      <c r="M20" s="94">
        <f t="shared" si="2"/>
        <v>5375111.111111111</v>
      </c>
      <c r="N20" s="25"/>
      <c r="O20" s="197">
        <f t="shared" si="3"/>
        <v>9116444.444444444</v>
      </c>
      <c r="P20" s="197">
        <f t="shared" si="4"/>
        <v>0.12119999681713577</v>
      </c>
      <c r="Q20" s="197">
        <f t="shared" si="5"/>
        <v>0.30349807422154002</v>
      </c>
    </row>
    <row r="21" spans="2:17" ht="15.95" customHeight="1" x14ac:dyDescent="0.25">
      <c r="B21" s="23"/>
      <c r="C21" s="59"/>
      <c r="D21" s="62"/>
      <c r="E21" s="36"/>
      <c r="F21" s="36"/>
      <c r="G21" s="88"/>
      <c r="H21" s="51">
        <f>IF(DAY(H20)=DAY($H$15),IF(WEEKDAY(EDATE(H20,$D$27),3)&lt;5,EDATE(H20,$D$27),WORKDAY(EDATE(H20,$D$27),1)),IF(WEEKDAY(EDATE($H$15,$D$27*COUNT($H$15:H20)),3)&lt;5,EDATE($H$15,$D$27*COUNT($H$15:H20)),WORKDAY(EDATE($H$15,$D$27*COUNT($H$15:H20)),1)))</f>
        <v>44193</v>
      </c>
      <c r="I21" s="71" t="s">
        <v>13</v>
      </c>
      <c r="J21" s="52">
        <f>(IF(AND($D$30&lt;&gt;"",$D$30&gt;(AVERAGE(VLOOKUP(WORKDAY.INTL(H21,-7,1,),'Tasas-TC'!A:B,2,FALSE),VLOOKUP(WORKDAY.INTL(H20,-7,1,),'Tasas-TC'!A:B,2,FALSE))+$D$29)),$D$30,IF(AND($D$31&lt;&gt;"",$D$31&lt;(AVERAGE(VLOOKUP(WORKDAY.INTL(H21,-7,1,),'Tasas-TC'!A:B,2,FALSE),VLOOKUP(WORKDAY.INTL(H20,-7,1,),'Tasas-TC'!A:B,2,FALSE))+$D$29)),$D$31,(AVERAGE(VLOOKUP(WORKDAY.INTL(H21,-7,1,),'Tasas-TC'!A:B,2,FALSE),VLOOKUP(WORKDAY.INTL(H20,-7,1,),'Tasas-TC'!A:B,2,FALSE))+$D$29)))/360)*(H21-H20)*L20</f>
        <v>687555.55555555562</v>
      </c>
      <c r="K21" s="52">
        <f t="shared" si="0"/>
        <v>4000000</v>
      </c>
      <c r="L21" s="53">
        <f t="shared" si="1"/>
        <v>0</v>
      </c>
      <c r="M21" s="94">
        <f t="shared" si="2"/>
        <v>4687555.555555556</v>
      </c>
      <c r="N21" s="25"/>
      <c r="O21" s="197">
        <f t="shared" si="3"/>
        <v>13804000</v>
      </c>
      <c r="P21" s="197">
        <f t="shared" si="4"/>
        <v>9.0197258864743196E-2</v>
      </c>
      <c r="Q21" s="197">
        <f t="shared" si="5"/>
        <v>0.2708388923719412</v>
      </c>
    </row>
    <row r="22" spans="2:17" ht="15.95" customHeight="1" x14ac:dyDescent="0.25">
      <c r="B22" s="23"/>
      <c r="C22" s="59" t="s">
        <v>9</v>
      </c>
      <c r="D22" s="98" t="s">
        <v>18</v>
      </c>
      <c r="E22" s="36"/>
      <c r="F22" s="36"/>
      <c r="G22" s="89"/>
      <c r="H22" s="54"/>
      <c r="I22" s="61"/>
      <c r="J22" s="55"/>
      <c r="K22" s="56"/>
      <c r="L22" s="57"/>
      <c r="M22" s="95"/>
      <c r="N22" s="25"/>
      <c r="P22" s="29"/>
    </row>
    <row r="23" spans="2:17" ht="15.95" customHeight="1" x14ac:dyDescent="0.25">
      <c r="B23" s="23"/>
      <c r="C23" s="59" t="s">
        <v>10</v>
      </c>
      <c r="D23" s="65">
        <v>43095</v>
      </c>
      <c r="E23" s="36"/>
      <c r="F23" s="36"/>
      <c r="G23" s="89"/>
      <c r="H23" s="24"/>
      <c r="I23" s="24"/>
      <c r="J23" s="24"/>
      <c r="K23" s="24"/>
      <c r="L23" s="24"/>
      <c r="M23" s="24"/>
      <c r="N23" s="25"/>
      <c r="P23" s="29"/>
    </row>
    <row r="24" spans="2:17" ht="15.95" customHeight="1" x14ac:dyDescent="0.25">
      <c r="B24" s="23"/>
      <c r="C24" s="59" t="s">
        <v>11</v>
      </c>
      <c r="D24" s="65">
        <v>43097</v>
      </c>
      <c r="E24" s="36"/>
      <c r="F24" s="36"/>
      <c r="G24" s="89"/>
      <c r="H24" s="656" t="s">
        <v>43</v>
      </c>
      <c r="I24" s="656"/>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12</v>
      </c>
      <c r="D25" s="65">
        <v>44193</v>
      </c>
      <c r="E25" s="36"/>
      <c r="F25" s="36"/>
      <c r="G25" s="89"/>
      <c r="H25" s="656" t="s">
        <v>45</v>
      </c>
      <c r="I25" s="656"/>
      <c r="J25" s="99">
        <f>+XIRR(M15:M21,H15:H21)</f>
        <v>0.37440554499626155</v>
      </c>
      <c r="K25" s="24"/>
      <c r="L25" s="33"/>
      <c r="M25" s="33"/>
      <c r="N25" s="25"/>
    </row>
    <row r="26" spans="2:17" ht="15.95" customHeight="1" x14ac:dyDescent="0.25">
      <c r="B26" s="23"/>
      <c r="C26" s="59" t="s">
        <v>27</v>
      </c>
      <c r="D26" s="66">
        <v>20000000</v>
      </c>
      <c r="E26" s="41"/>
      <c r="F26" s="24"/>
      <c r="G26" s="89"/>
      <c r="H26" s="656" t="s">
        <v>272</v>
      </c>
      <c r="I26" s="656"/>
      <c r="J26" s="198">
        <f>+SUM(Q16:Q21)</f>
        <v>1.5558648135770961</v>
      </c>
      <c r="K26" s="24"/>
      <c r="L26" s="24"/>
      <c r="M26" s="24"/>
      <c r="N26" s="25"/>
      <c r="P26" s="37"/>
    </row>
    <row r="27" spans="2:17" ht="15.95" customHeight="1" x14ac:dyDescent="0.25">
      <c r="B27" s="23"/>
      <c r="C27" s="59" t="s">
        <v>26</v>
      </c>
      <c r="D27" s="66">
        <v>6</v>
      </c>
      <c r="E27" s="36"/>
      <c r="F27" s="24"/>
      <c r="G27" s="90"/>
      <c r="H27" s="24"/>
      <c r="I27" s="24"/>
      <c r="J27" s="24"/>
      <c r="K27" s="24"/>
      <c r="L27" s="24"/>
      <c r="M27" s="24"/>
      <c r="N27" s="25"/>
    </row>
    <row r="28" spans="2:17" ht="15.95" customHeight="1" x14ac:dyDescent="0.25">
      <c r="B28" s="23"/>
      <c r="C28" s="59" t="s">
        <v>19</v>
      </c>
      <c r="D28" s="67" t="s">
        <v>20</v>
      </c>
      <c r="E28" s="43"/>
      <c r="F28" s="24"/>
      <c r="G28" s="90"/>
      <c r="H28" s="638" t="s">
        <v>44</v>
      </c>
      <c r="I28" s="639"/>
      <c r="J28" s="639"/>
      <c r="K28" s="639"/>
      <c r="L28" s="639"/>
      <c r="M28" s="640"/>
      <c r="N28" s="25"/>
    </row>
    <row r="29" spans="2:17" ht="15.95" customHeight="1" x14ac:dyDescent="0.25">
      <c r="B29" s="23"/>
      <c r="C29" s="59" t="s">
        <v>14</v>
      </c>
      <c r="D29" s="68">
        <v>7.9000000000000001E-2</v>
      </c>
      <c r="E29" s="43"/>
      <c r="F29" s="24"/>
      <c r="G29" s="90"/>
      <c r="H29" s="23"/>
      <c r="I29" s="24"/>
      <c r="J29" s="24"/>
      <c r="K29" s="24"/>
      <c r="L29" s="24"/>
      <c r="M29" s="25"/>
      <c r="N29" s="25"/>
    </row>
    <row r="30" spans="2:17" ht="15.95" customHeight="1" x14ac:dyDescent="0.25">
      <c r="B30" s="23"/>
      <c r="C30" s="59" t="s">
        <v>31</v>
      </c>
      <c r="D30" s="68">
        <v>0.15</v>
      </c>
      <c r="E30" s="43"/>
      <c r="F30" s="24"/>
      <c r="G30" s="90"/>
      <c r="H30" s="23"/>
      <c r="I30" s="24"/>
      <c r="J30" s="24"/>
      <c r="K30" s="24"/>
      <c r="L30" s="24"/>
      <c r="M30" s="25"/>
      <c r="N30" s="25"/>
    </row>
    <row r="31" spans="2:17" ht="15.95" customHeight="1" x14ac:dyDescent="0.25">
      <c r="B31" s="23"/>
      <c r="C31" s="59" t="s">
        <v>32</v>
      </c>
      <c r="D31" s="68">
        <v>0.34</v>
      </c>
      <c r="E31" s="44"/>
      <c r="F31" s="24"/>
      <c r="G31" s="90"/>
      <c r="H31" s="96"/>
      <c r="I31" s="35"/>
      <c r="J31" s="24"/>
      <c r="K31" s="24"/>
      <c r="L31" s="24"/>
      <c r="M31" s="25"/>
      <c r="N31" s="25"/>
    </row>
    <row r="32" spans="2:17" ht="15.95" customHeight="1" x14ac:dyDescent="0.25">
      <c r="B32" s="23"/>
      <c r="C32" s="59" t="s">
        <v>58</v>
      </c>
      <c r="D32" s="69">
        <v>0.2</v>
      </c>
      <c r="E32" s="24"/>
      <c r="F32" s="24"/>
      <c r="G32" s="90"/>
      <c r="H32" s="23"/>
      <c r="I32" s="24"/>
      <c r="J32" s="24"/>
      <c r="K32" s="24"/>
      <c r="L32" s="24"/>
      <c r="M32" s="25"/>
      <c r="N32" s="25"/>
    </row>
    <row r="33" spans="2:14" ht="15.95" customHeight="1" x14ac:dyDescent="0.25">
      <c r="B33" s="23"/>
      <c r="C33" s="63"/>
      <c r="D33" s="64"/>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27"/>
      <c r="D41" s="27"/>
      <c r="E41" s="27"/>
      <c r="F41" s="27"/>
      <c r="G41" s="91"/>
      <c r="H41" s="27"/>
      <c r="I41" s="27"/>
      <c r="J41" s="27"/>
      <c r="K41" s="27"/>
      <c r="L41" s="27"/>
      <c r="M41" s="27"/>
      <c r="N41" s="28"/>
    </row>
  </sheetData>
  <mergeCells count="19">
    <mergeCell ref="H28:M28"/>
    <mergeCell ref="D14:E14"/>
    <mergeCell ref="D18:E18"/>
    <mergeCell ref="D19:E19"/>
    <mergeCell ref="C20:D20"/>
    <mergeCell ref="H24:I24"/>
    <mergeCell ref="H25:I25"/>
    <mergeCell ref="H26:I26"/>
    <mergeCell ref="K2:M2"/>
    <mergeCell ref="L5:M5"/>
    <mergeCell ref="C8:E8"/>
    <mergeCell ref="H8:I8"/>
    <mergeCell ref="D9:E9"/>
    <mergeCell ref="H9:I9"/>
    <mergeCell ref="D10:E10"/>
    <mergeCell ref="H10:I10"/>
    <mergeCell ref="D11:E11"/>
    <mergeCell ref="D12:E12"/>
    <mergeCell ref="H12:L12"/>
  </mergeCells>
  <dataValidations count="4">
    <dataValidation type="list" allowBlank="1" showInputMessage="1" showErrorMessage="1" sqref="D15:D17" xr:uid="{00000000-0002-0000-0600-000000000000}">
      <formula1>"Individualización N°, Suspensión N°, Rueda Reducida N°"</formula1>
    </dataValidation>
    <dataValidation type="list" allowBlank="1" showInputMessage="1" showErrorMessage="1" sqref="D22" xr:uid="{00000000-0002-0000-0600-000001000000}">
      <formula1>"ARS,USD"</formula1>
    </dataValidation>
    <dataValidation type="list" allowBlank="1" showInputMessage="1" showErrorMessage="1" sqref="D12:E12" xr:uid="{00000000-0002-0000-0600-000002000000}">
      <formula1>"ON Pyme CNV Garantizada, Régimen General, ON Pyme, VCP"</formula1>
    </dataValidation>
    <dataValidation type="list" allowBlank="1" showInputMessage="1" showErrorMessage="1" sqref="D13" xr:uid="{00000000-0002-0000-0600-000003000000}">
      <formula1>$B$5:$B$50</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B1:Q41"/>
  <sheetViews>
    <sheetView workbookViewId="0"/>
  </sheetViews>
  <sheetFormatPr baseColWidth="10" defaultRowHeight="12.75" x14ac:dyDescent="0.25"/>
  <cols>
    <col min="1" max="1" width="5.7109375" style="22" customWidth="1"/>
    <col min="2" max="2" width="3.7109375" style="22" customWidth="1"/>
    <col min="3" max="3" width="20.7109375" style="22" customWidth="1"/>
    <col min="4" max="5" width="18.7109375" style="22" customWidth="1"/>
    <col min="6" max="7" width="3.7109375" style="22" customWidth="1"/>
    <col min="8" max="8" width="13.7109375" style="22" customWidth="1"/>
    <col min="9" max="9" width="12.7109375" style="22" customWidth="1"/>
    <col min="10" max="13" width="15.7109375" style="22" customWidth="1"/>
    <col min="14" max="14" width="3.7109375" style="22" customWidth="1"/>
    <col min="15" max="16" width="13.7109375" style="22" customWidth="1"/>
    <col min="17" max="18" width="8.7109375" style="22" customWidth="1"/>
    <col min="19" max="19" width="5.7109375" style="22" customWidth="1"/>
    <col min="20" max="22" width="14.7109375" style="22" customWidth="1"/>
    <col min="23" max="16384" width="11.42578125" style="22"/>
  </cols>
  <sheetData>
    <row r="1" spans="2:17" ht="9.9499999999999993" customHeight="1" x14ac:dyDescent="0.25">
      <c r="B1" s="19"/>
      <c r="C1" s="20"/>
      <c r="D1" s="20"/>
      <c r="E1" s="20"/>
      <c r="F1" s="20"/>
      <c r="G1" s="20"/>
      <c r="H1" s="20"/>
      <c r="I1" s="20"/>
      <c r="J1" s="20"/>
      <c r="K1" s="20"/>
      <c r="L1" s="20"/>
      <c r="M1" s="20"/>
      <c r="N1" s="21"/>
    </row>
    <row r="2" spans="2:17" ht="18" customHeight="1" x14ac:dyDescent="0.25">
      <c r="B2" s="23"/>
      <c r="C2" s="24"/>
      <c r="D2" s="24"/>
      <c r="E2" s="24"/>
      <c r="F2" s="24"/>
      <c r="G2" s="24"/>
      <c r="H2" s="24"/>
      <c r="I2" s="24"/>
      <c r="J2" s="24"/>
      <c r="K2" s="703" t="s">
        <v>46</v>
      </c>
      <c r="L2" s="702"/>
      <c r="M2" s="704"/>
      <c r="N2" s="25"/>
    </row>
    <row r="3" spans="2:17" ht="9.9499999999999993" customHeight="1" x14ac:dyDescent="0.25">
      <c r="B3" s="23"/>
      <c r="C3" s="24"/>
      <c r="D3" s="24"/>
      <c r="E3" s="24"/>
      <c r="F3" s="24"/>
      <c r="G3" s="24"/>
      <c r="H3" s="24"/>
      <c r="I3" s="24"/>
      <c r="J3" s="24"/>
      <c r="K3" s="24"/>
      <c r="L3" s="24"/>
      <c r="N3" s="25"/>
    </row>
    <row r="4" spans="2:17" ht="18" customHeight="1" x14ac:dyDescent="0.25">
      <c r="B4" s="23"/>
      <c r="C4" s="24"/>
      <c r="D4" s="24"/>
      <c r="E4" s="24"/>
      <c r="F4" s="24"/>
      <c r="G4" s="24"/>
      <c r="H4" s="24"/>
      <c r="I4" s="24"/>
      <c r="J4" s="24"/>
      <c r="K4" s="24"/>
      <c r="L4" s="30" t="s">
        <v>0</v>
      </c>
      <c r="M4" s="80">
        <f>+Reporte!N6</f>
        <v>45861</v>
      </c>
      <c r="N4" s="25"/>
    </row>
    <row r="5" spans="2:17" ht="18" customHeight="1" x14ac:dyDescent="0.25">
      <c r="B5" s="23"/>
      <c r="C5" s="24"/>
      <c r="D5" s="24"/>
      <c r="E5" s="24"/>
      <c r="F5" s="24"/>
      <c r="G5" s="24"/>
      <c r="H5" s="24"/>
      <c r="I5" s="24"/>
      <c r="J5" s="24"/>
      <c r="K5" s="24"/>
      <c r="L5" s="693" t="s">
        <v>1</v>
      </c>
      <c r="M5" s="695"/>
      <c r="N5" s="25"/>
    </row>
    <row r="6" spans="2:17" ht="9.9499999999999993" customHeight="1" x14ac:dyDescent="0.25">
      <c r="B6" s="26"/>
      <c r="C6" s="27"/>
      <c r="D6" s="27"/>
      <c r="E6" s="27"/>
      <c r="F6" s="27"/>
      <c r="G6" s="27"/>
      <c r="H6" s="27"/>
      <c r="I6" s="27"/>
      <c r="J6" s="27"/>
      <c r="K6" s="27"/>
      <c r="L6" s="27"/>
      <c r="M6" s="27"/>
      <c r="N6" s="28"/>
    </row>
    <row r="7" spans="2:17" ht="15.95" customHeight="1" x14ac:dyDescent="0.25">
      <c r="B7" s="19"/>
      <c r="C7" s="84"/>
      <c r="D7" s="20"/>
      <c r="E7" s="20"/>
      <c r="F7" s="38"/>
      <c r="G7" s="86"/>
      <c r="H7" s="38"/>
      <c r="I7" s="38"/>
      <c r="J7" s="20"/>
      <c r="K7" s="20"/>
      <c r="L7" s="20"/>
      <c r="M7" s="20"/>
      <c r="N7" s="21"/>
    </row>
    <row r="8" spans="2:17" ht="15.95" customHeight="1" x14ac:dyDescent="0.25">
      <c r="B8" s="23"/>
      <c r="C8" s="638" t="s">
        <v>37</v>
      </c>
      <c r="D8" s="639"/>
      <c r="E8" s="640"/>
      <c r="F8" s="31"/>
      <c r="G8" s="87"/>
      <c r="H8" s="641" t="s">
        <v>28</v>
      </c>
      <c r="I8" s="642"/>
      <c r="J8" s="39">
        <f>+$D$28-SUMIF($H$14:$H$22,"&lt;"&amp;$M$4,$K$14:$K$22)</f>
        <v>0</v>
      </c>
      <c r="K8" s="24"/>
      <c r="L8" s="24"/>
      <c r="M8" s="24"/>
      <c r="N8" s="25"/>
      <c r="O8" s="194" t="str">
        <f>+D12</f>
        <v>ON Pyme CNV Garantizada</v>
      </c>
    </row>
    <row r="9" spans="2:17" ht="15.95" customHeight="1" x14ac:dyDescent="0.25">
      <c r="B9" s="23"/>
      <c r="C9" s="58"/>
      <c r="D9" s="664"/>
      <c r="E9" s="665"/>
      <c r="F9" s="31"/>
      <c r="G9" s="87"/>
      <c r="H9" s="645" t="s">
        <v>29</v>
      </c>
      <c r="I9" s="646"/>
      <c r="J9" s="40">
        <f>+$D$27</f>
        <v>44313</v>
      </c>
      <c r="K9" s="24"/>
      <c r="L9" s="24"/>
      <c r="M9" s="24"/>
      <c r="N9" s="25"/>
      <c r="O9" s="195"/>
    </row>
    <row r="10" spans="2:17" ht="15.95" customHeight="1" x14ac:dyDescent="0.25">
      <c r="B10" s="23"/>
      <c r="C10" s="59" t="s">
        <v>25</v>
      </c>
      <c r="D10" s="681"/>
      <c r="E10" s="682"/>
      <c r="F10" s="31"/>
      <c r="G10" s="87"/>
      <c r="H10" s="649" t="s">
        <v>30</v>
      </c>
      <c r="I10" s="650"/>
      <c r="J10" s="42" t="str">
        <f t="array" ref="J10">+IF($H21&gt;=$M$4,MIN(IF($H$14:$H22&gt;$M$4,$H$14:$H22,"")),"vencida")</f>
        <v>vencida</v>
      </c>
      <c r="K10" s="24"/>
      <c r="L10" s="24"/>
      <c r="M10" s="24"/>
      <c r="N10" s="25"/>
      <c r="O10" s="194" t="str">
        <f>+IF(J10="vencida",IF(D12='Reporte - Oscuro'!$C$40,'Reporte - Oscuro'!$C$40&amp;" vencida",IF(D12='Reporte - Oscuro'!$C$41,'Reporte - Oscuro'!$C$41&amp;" vencida",IF(D12='Reporte - Oscuro'!$C$42,'Reporte - Oscuro'!$C$42&amp;" vencida",'Reporte - Oscuro'!$C$43&amp;" vencida"))),D12&amp;" vigente")</f>
        <v>ON Pyme CNV Garantizada vencida</v>
      </c>
    </row>
    <row r="11" spans="2:17" ht="15.95" customHeight="1" x14ac:dyDescent="0.25">
      <c r="B11" s="23"/>
      <c r="C11" s="59" t="s">
        <v>6</v>
      </c>
      <c r="D11" s="681" t="s">
        <v>47</v>
      </c>
      <c r="E11" s="682"/>
      <c r="F11" s="31"/>
      <c r="G11" s="87"/>
      <c r="H11" s="24"/>
      <c r="I11" s="24"/>
      <c r="J11" s="24"/>
      <c r="K11" s="24"/>
      <c r="L11" s="24"/>
      <c r="M11" s="24"/>
      <c r="N11" s="25"/>
      <c r="O11" s="195"/>
    </row>
    <row r="12" spans="2:17" ht="15.95" customHeight="1" x14ac:dyDescent="0.25">
      <c r="B12" s="23"/>
      <c r="C12" s="59" t="s">
        <v>8</v>
      </c>
      <c r="D12" s="681" t="s">
        <v>17</v>
      </c>
      <c r="E12" s="682"/>
      <c r="F12" s="31"/>
      <c r="G12" s="87"/>
      <c r="H12" s="651" t="s">
        <v>41</v>
      </c>
      <c r="I12" s="652"/>
      <c r="J12" s="652"/>
      <c r="K12" s="652"/>
      <c r="L12" s="653"/>
      <c r="M12" s="24"/>
      <c r="N12" s="25"/>
      <c r="O12" s="195"/>
    </row>
    <row r="13" spans="2:17" ht="15.95" customHeight="1" x14ac:dyDescent="0.25">
      <c r="B13" s="23"/>
      <c r="C13" s="59" t="s">
        <v>33</v>
      </c>
      <c r="D13" s="132"/>
      <c r="E13" s="274"/>
      <c r="F13" s="31"/>
      <c r="G13" s="87"/>
      <c r="H13" s="126" t="s">
        <v>0</v>
      </c>
      <c r="I13" s="127" t="s">
        <v>2</v>
      </c>
      <c r="J13" s="127" t="s">
        <v>3</v>
      </c>
      <c r="K13" s="127" t="s">
        <v>4</v>
      </c>
      <c r="L13" s="128" t="s">
        <v>5</v>
      </c>
      <c r="M13" s="127" t="s">
        <v>44</v>
      </c>
      <c r="N13" s="25"/>
      <c r="O13" s="195"/>
    </row>
    <row r="14" spans="2:17" ht="15.95" customHeight="1" x14ac:dyDescent="0.25">
      <c r="B14" s="23"/>
      <c r="C14" s="59" t="s">
        <v>34</v>
      </c>
      <c r="D14" s="681" t="s">
        <v>48</v>
      </c>
      <c r="E14" s="682"/>
      <c r="F14" s="31"/>
      <c r="G14" s="87"/>
      <c r="H14" s="45"/>
      <c r="I14" s="46"/>
      <c r="J14" s="46"/>
      <c r="K14" s="46"/>
      <c r="L14" s="47"/>
      <c r="M14" s="23"/>
      <c r="N14" s="25"/>
      <c r="O14" s="195"/>
    </row>
    <row r="15" spans="2:17" ht="15.95" customHeight="1" x14ac:dyDescent="0.25">
      <c r="B15" s="23"/>
      <c r="C15" s="79" t="s">
        <v>38</v>
      </c>
      <c r="D15" s="130" t="s">
        <v>39</v>
      </c>
      <c r="E15" s="131">
        <v>22</v>
      </c>
      <c r="F15" s="31"/>
      <c r="G15" s="87"/>
      <c r="H15" s="48">
        <f>+$D$26</f>
        <v>43217</v>
      </c>
      <c r="I15" s="136"/>
      <c r="J15" s="49"/>
      <c r="K15" s="49"/>
      <c r="L15" s="50">
        <f>+D28</f>
        <v>800000</v>
      </c>
      <c r="M15" s="93">
        <f>-L15</f>
        <v>-800000</v>
      </c>
      <c r="N15" s="25"/>
      <c r="O15" s="197">
        <f>+M15</f>
        <v>-800000</v>
      </c>
      <c r="P15" s="197">
        <f>-M15</f>
        <v>800000</v>
      </c>
      <c r="Q15" s="197"/>
    </row>
    <row r="16" spans="2:17" ht="15.95" customHeight="1" x14ac:dyDescent="0.25">
      <c r="B16" s="23"/>
      <c r="C16" s="59"/>
      <c r="D16" s="132" t="s">
        <v>40</v>
      </c>
      <c r="E16" s="133" t="s">
        <v>75</v>
      </c>
      <c r="F16" s="31"/>
      <c r="G16" s="87"/>
      <c r="H16" s="51">
        <f>IF(DAY(H15)=DAY($H$15),IF(WEEKDAY(EDATE(H15,$D$29),3)&lt;5,EDATE(H15,$D$29),WORKDAY(EDATE(H15,$D$29),1)),IF(WEEKDAY(EDATE($H$15,$D$29*COUNT($H$15:H15)),3)&lt;5,EDATE($H$15,$D$29*COUNT($H$15:H15)),WORKDAY(EDATE($H$15,$D$29*COUNT($H$15:H15)),1)))</f>
        <v>43402</v>
      </c>
      <c r="I16" s="137" t="s">
        <v>7</v>
      </c>
      <c r="J16" s="52">
        <f t="shared" ref="J16:J21" si="0">+(($D$31/365)*(H16-H15))*L15</f>
        <v>34465.753424657538</v>
      </c>
      <c r="K16" s="52">
        <f>+IF(OR(I16="A + C",I16="A"),$L$15*$D$32,0)</f>
        <v>0</v>
      </c>
      <c r="L16" s="53">
        <f t="shared" ref="L16:L21" si="1">+L15-K16</f>
        <v>800000</v>
      </c>
      <c r="M16" s="94">
        <f t="shared" ref="M16:M21" si="2">+J16+K16</f>
        <v>34465.753424657538</v>
      </c>
      <c r="N16" s="25"/>
      <c r="O16" s="197">
        <f t="shared" ref="O16:O21" si="3">+M16+O15</f>
        <v>-765534.24657534249</v>
      </c>
      <c r="P16" s="197">
        <f>+(M16/(1+$J$25)^((H16-$H$15)/365))/$P$15</f>
        <v>4.1302367209743548E-2</v>
      </c>
      <c r="Q16" s="197">
        <f>+P16*((H16-$H$15)/365)</f>
        <v>2.093407653096591E-2</v>
      </c>
    </row>
    <row r="17" spans="2:17" ht="15.95" customHeight="1" x14ac:dyDescent="0.25">
      <c r="B17" s="23"/>
      <c r="C17" s="60"/>
      <c r="D17" s="134"/>
      <c r="E17" s="135"/>
      <c r="F17" s="34"/>
      <c r="G17" s="88"/>
      <c r="H17" s="51">
        <f>IF(DAY(H16)=DAY($H$15),IF(WEEKDAY(EDATE(H16,$D$29),3)&lt;5,EDATE(H16,$D$29),WORKDAY(EDATE(H16,$D$29),1)),IF(WEEKDAY(EDATE($H$15,$D$29*COUNT($H$15:H16)),3)&lt;5,EDATE($H$15,$D$29*COUNT($H$15:H16)),WORKDAY(EDATE($H$15,$D$29*COUNT($H$15:H16)),1)))</f>
        <v>43584</v>
      </c>
      <c r="I17" s="137" t="s">
        <v>13</v>
      </c>
      <c r="J17" s="52">
        <f t="shared" si="0"/>
        <v>33906.849315068503</v>
      </c>
      <c r="K17" s="52">
        <f>+IF(OR(I17="A + C",I17="A"),$D$28*$D$32,0)</f>
        <v>160000</v>
      </c>
      <c r="L17" s="53">
        <f>+L16-K17</f>
        <v>640000</v>
      </c>
      <c r="M17" s="94">
        <f t="shared" si="2"/>
        <v>193906.84931506851</v>
      </c>
      <c r="N17" s="25"/>
      <c r="O17" s="197">
        <f t="shared" si="3"/>
        <v>-571627.39726027404</v>
      </c>
      <c r="P17" s="197">
        <f t="shared" ref="P17:P21" si="4">+(M17/(1+$J$25)^((H17-$H$15)/365))/$P$15</f>
        <v>0.22292285572680706</v>
      </c>
      <c r="Q17" s="197">
        <f t="shared" ref="Q17:Q21" si="5">+P17*((H17-$H$15)/365)</f>
        <v>0.22414435082667997</v>
      </c>
    </row>
    <row r="18" spans="2:17" ht="15.95" customHeight="1" x14ac:dyDescent="0.25">
      <c r="B18" s="23"/>
      <c r="C18" s="60"/>
      <c r="D18" s="666"/>
      <c r="E18" s="667"/>
      <c r="F18" s="34"/>
      <c r="G18" s="88"/>
      <c r="H18" s="51">
        <f>IF(DAY(H17)=DAY($H$15),IF(WEEKDAY(EDATE(H17,$D$29),3)&lt;5,EDATE(H17,$D$29),WORKDAY(EDATE(H17,$D$29),1)),IF(WEEKDAY(EDATE($H$15,$D$29*COUNT($H$15:H17)),3)&lt;5,EDATE($H$15,$D$29*COUNT($H$15:H17)),WORKDAY(EDATE($H$15,$D$29*COUNT($H$15:H17)),1)))</f>
        <v>43766</v>
      </c>
      <c r="I18" s="137" t="s">
        <v>13</v>
      </c>
      <c r="J18" s="52">
        <f t="shared" si="0"/>
        <v>27125.479452054798</v>
      </c>
      <c r="K18" s="52">
        <f>+IF(OR(I18="A + C",I18="A"),$D$28*$D$32,0)</f>
        <v>160000</v>
      </c>
      <c r="L18" s="53">
        <f t="shared" si="1"/>
        <v>480000</v>
      </c>
      <c r="M18" s="94">
        <f t="shared" si="2"/>
        <v>187125.4794520548</v>
      </c>
      <c r="N18" s="25"/>
      <c r="O18" s="197">
        <f t="shared" si="3"/>
        <v>-384501.91780821921</v>
      </c>
      <c r="P18" s="197">
        <f t="shared" si="4"/>
        <v>0.2063804976528337</v>
      </c>
      <c r="Q18" s="197">
        <f t="shared" si="5"/>
        <v>0.31041888551070052</v>
      </c>
    </row>
    <row r="19" spans="2:17" ht="15.95" customHeight="1" x14ac:dyDescent="0.25">
      <c r="B19" s="32"/>
      <c r="D19" s="644"/>
      <c r="E19" s="660"/>
      <c r="F19" s="34"/>
      <c r="G19" s="88"/>
      <c r="H19" s="51">
        <f>IF(DAY(H18)=DAY($H$15),IF(WEEKDAY(EDATE(H18,$D$29),3)&lt;5,EDATE(H18,$D$29),WORKDAY(EDATE(H18,$D$29),1)),IF(WEEKDAY(EDATE($H$15,$D$29*COUNT($H$15:H18)),3)&lt;5,EDATE($H$15,$D$29*COUNT($H$15:H18)),WORKDAY(EDATE($H$15,$D$29*COUNT($H$15:H18)),1)))</f>
        <v>43948</v>
      </c>
      <c r="I19" s="137" t="s">
        <v>13</v>
      </c>
      <c r="J19" s="52">
        <f t="shared" si="0"/>
        <v>20344.109589041098</v>
      </c>
      <c r="K19" s="52">
        <f>+IF(OR(I19="A + C",I19="A"),$D$28*$D$32,0)</f>
        <v>160000</v>
      </c>
      <c r="L19" s="53">
        <f t="shared" si="1"/>
        <v>320000</v>
      </c>
      <c r="M19" s="94">
        <f t="shared" si="2"/>
        <v>180344.10958904109</v>
      </c>
      <c r="N19" s="25"/>
      <c r="O19" s="197">
        <f t="shared" si="3"/>
        <v>-204157.80821917811</v>
      </c>
      <c r="P19" s="197">
        <f t="shared" si="4"/>
        <v>0.19081476303366166</v>
      </c>
      <c r="Q19" s="197">
        <f t="shared" si="5"/>
        <v>0.38215230624001828</v>
      </c>
    </row>
    <row r="20" spans="2:17" ht="15.95" customHeight="1" x14ac:dyDescent="0.25">
      <c r="B20" s="23"/>
      <c r="C20" s="638" t="s">
        <v>36</v>
      </c>
      <c r="D20" s="640"/>
      <c r="E20" s="36"/>
      <c r="F20" s="34"/>
      <c r="G20" s="88"/>
      <c r="H20" s="51">
        <f>IF(DAY(H19)=DAY($H$15),IF(WEEKDAY(EDATE(H19,$D$29),3)&lt;5,EDATE(H19,$D$29),WORKDAY(EDATE(H19,$D$29),1)),IF(WEEKDAY(EDATE($H$15,$D$29*COUNT($H$15:H19)),3)&lt;5,EDATE($H$15,$D$29*COUNT($H$15:H19)),WORKDAY(EDATE($H$15,$D$29*COUNT($H$15:H19)),1)))</f>
        <v>44131</v>
      </c>
      <c r="I20" s="137" t="s">
        <v>13</v>
      </c>
      <c r="J20" s="52">
        <f t="shared" si="0"/>
        <v>13637.260273972604</v>
      </c>
      <c r="K20" s="52">
        <f>+IF(OR(I20="A + C",I20="A"),$D$28*$D$32,0)</f>
        <v>160000</v>
      </c>
      <c r="L20" s="53">
        <f>+L19-K20</f>
        <v>160000</v>
      </c>
      <c r="M20" s="94">
        <f t="shared" si="2"/>
        <v>173637.26027397261</v>
      </c>
      <c r="N20" s="25"/>
      <c r="O20" s="197">
        <f t="shared" si="3"/>
        <v>-30520.547945205501</v>
      </c>
      <c r="P20" s="197">
        <f t="shared" si="4"/>
        <v>0.17620903543746502</v>
      </c>
      <c r="Q20" s="197">
        <f t="shared" si="5"/>
        <v>0.44124673531463848</v>
      </c>
    </row>
    <row r="21" spans="2:17" ht="15.95" customHeight="1" x14ac:dyDescent="0.25">
      <c r="B21" s="23"/>
      <c r="C21" s="59"/>
      <c r="D21" s="62"/>
      <c r="E21" s="36"/>
      <c r="F21" s="36"/>
      <c r="G21" s="89"/>
      <c r="H21" s="51">
        <f>IF(DAY(H20)=DAY($H$15),IF(WEEKDAY(EDATE(H20,$D$29),3)&lt;5,EDATE(H20,$D$29),WORKDAY(EDATE(H20,$D$29),1)),IF(WEEKDAY(EDATE($H$15,$D$29*COUNT($H$15:H20)),3)&lt;5,EDATE($H$15,$D$29*COUNT($H$15:H20)),WORKDAY(EDATE($H$15,$D$29*COUNT($H$15:H20)),1)))</f>
        <v>44313</v>
      </c>
      <c r="I21" s="137" t="s">
        <v>13</v>
      </c>
      <c r="J21" s="52">
        <f t="shared" si="0"/>
        <v>6781.3698630136996</v>
      </c>
      <c r="K21" s="52">
        <f>+IF(OR(I21="A + C",I21="A"),$D$28*$D$32,0)</f>
        <v>160000</v>
      </c>
      <c r="L21" s="53">
        <f t="shared" si="1"/>
        <v>0</v>
      </c>
      <c r="M21" s="94">
        <f t="shared" si="2"/>
        <v>166781.36986301371</v>
      </c>
      <c r="N21" s="25"/>
      <c r="O21" s="197">
        <f t="shared" si="3"/>
        <v>136260.82191780821</v>
      </c>
      <c r="P21" s="197">
        <f t="shared" si="4"/>
        <v>0.16237047714783123</v>
      </c>
      <c r="Q21" s="197">
        <f t="shared" si="5"/>
        <v>0.48755628206581653</v>
      </c>
    </row>
    <row r="22" spans="2:17" ht="15.95" customHeight="1" x14ac:dyDescent="0.25">
      <c r="B22" s="23"/>
      <c r="C22" s="59" t="s">
        <v>9</v>
      </c>
      <c r="D22" s="129" t="s">
        <v>49</v>
      </c>
      <c r="E22" s="36"/>
      <c r="F22" s="36"/>
      <c r="G22" s="89"/>
      <c r="H22" s="54"/>
      <c r="I22" s="144"/>
      <c r="J22" s="55"/>
      <c r="K22" s="56"/>
      <c r="L22" s="57"/>
      <c r="M22" s="95"/>
      <c r="N22" s="25"/>
      <c r="P22" s="29"/>
    </row>
    <row r="23" spans="2:17" ht="15.95" customHeight="1" x14ac:dyDescent="0.25">
      <c r="B23" s="23"/>
      <c r="C23" s="59" t="s">
        <v>51</v>
      </c>
      <c r="D23" s="138" t="s">
        <v>18</v>
      </c>
      <c r="E23" s="36"/>
      <c r="F23" s="36"/>
      <c r="G23" s="89"/>
      <c r="H23" s="24"/>
      <c r="I23" s="24"/>
      <c r="J23" s="24"/>
      <c r="K23" s="24"/>
      <c r="L23" s="24"/>
      <c r="M23" s="24"/>
      <c r="N23" s="25"/>
      <c r="P23" s="29"/>
    </row>
    <row r="24" spans="2:17" ht="15.95" customHeight="1" x14ac:dyDescent="0.25">
      <c r="B24" s="23"/>
      <c r="C24" s="59" t="s">
        <v>52</v>
      </c>
      <c r="D24" s="138" t="s">
        <v>18</v>
      </c>
      <c r="E24" s="36"/>
      <c r="F24" s="36"/>
      <c r="G24" s="89"/>
      <c r="H24" s="680" t="s">
        <v>43</v>
      </c>
      <c r="I24" s="680"/>
      <c r="J24" s="92">
        <f t="array" ref="J24">$J$8+IF($H$21&gt;=$M$4,(VLOOKUP(MIN(IF($H$14:$H$22&gt;$M$4,$H$14:$H$22,"")),H14:J22,3,FALSE)/(MIN(IF($H$14:$H$22&gt;$M$4,$H$14:$H$22,""))-MAX(IF($H$14:$H$22&lt;$M$4,$H$14:$H$22,""))))*($M$4-MAX(IF($H$14:$H$22&lt;$M$4,$H$14:$H$22,""))),0)</f>
        <v>0</v>
      </c>
      <c r="K24" s="92"/>
      <c r="L24" s="24"/>
      <c r="M24" s="24"/>
      <c r="N24" s="25"/>
      <c r="P24" s="29"/>
    </row>
    <row r="25" spans="2:17" ht="15.95" customHeight="1" x14ac:dyDescent="0.25">
      <c r="B25" s="23"/>
      <c r="C25" s="59" t="s">
        <v>10</v>
      </c>
      <c r="D25" s="139">
        <v>43173</v>
      </c>
      <c r="E25" s="36"/>
      <c r="F25" s="36"/>
      <c r="G25" s="89"/>
      <c r="H25" s="680" t="s">
        <v>45</v>
      </c>
      <c r="I25" s="680"/>
      <c r="J25" s="99">
        <f>+XIRR(M15:M21,H15:H21)</f>
        <v>8.6802127957344058E-2</v>
      </c>
      <c r="K25" s="24"/>
      <c r="L25" s="33"/>
      <c r="M25" s="33"/>
      <c r="N25" s="25"/>
    </row>
    <row r="26" spans="2:17" ht="15.95" customHeight="1" x14ac:dyDescent="0.25">
      <c r="B26" s="23"/>
      <c r="C26" s="59" t="s">
        <v>11</v>
      </c>
      <c r="D26" s="139">
        <v>43217</v>
      </c>
      <c r="E26" s="41"/>
      <c r="F26" s="24"/>
      <c r="G26" s="90"/>
      <c r="H26" s="680" t="s">
        <v>272</v>
      </c>
      <c r="I26" s="680"/>
      <c r="J26" s="198">
        <f>+SUM(Q16:Q21)</f>
        <v>1.8664526364888196</v>
      </c>
      <c r="K26" s="24"/>
      <c r="L26" s="24"/>
      <c r="M26" s="24"/>
      <c r="N26" s="25"/>
      <c r="P26" s="37"/>
    </row>
    <row r="27" spans="2:17" ht="15.95" customHeight="1" x14ac:dyDescent="0.25">
      <c r="B27" s="23"/>
      <c r="C27" s="59" t="s">
        <v>12</v>
      </c>
      <c r="D27" s="139">
        <v>44313</v>
      </c>
      <c r="E27" s="36"/>
      <c r="F27" s="24"/>
      <c r="G27" s="90"/>
      <c r="H27" s="24"/>
      <c r="I27" s="24"/>
      <c r="J27" s="24"/>
      <c r="K27" s="24"/>
      <c r="L27" s="24"/>
      <c r="M27" s="24"/>
      <c r="N27" s="25"/>
    </row>
    <row r="28" spans="2:17" ht="15.95" customHeight="1" x14ac:dyDescent="0.25">
      <c r="B28" s="23"/>
      <c r="C28" s="59" t="s">
        <v>27</v>
      </c>
      <c r="D28" s="140">
        <v>800000</v>
      </c>
      <c r="E28" s="43"/>
      <c r="F28" s="24"/>
      <c r="G28" s="90"/>
      <c r="H28" s="638" t="s">
        <v>44</v>
      </c>
      <c r="I28" s="639"/>
      <c r="J28" s="639"/>
      <c r="K28" s="639"/>
      <c r="L28" s="639"/>
      <c r="M28" s="640"/>
      <c r="N28" s="25"/>
    </row>
    <row r="29" spans="2:17" ht="15.95" customHeight="1" x14ac:dyDescent="0.25">
      <c r="B29" s="23"/>
      <c r="C29" s="59" t="s">
        <v>26</v>
      </c>
      <c r="D29" s="140">
        <v>6</v>
      </c>
      <c r="E29" s="43"/>
      <c r="F29" s="24"/>
      <c r="G29" s="90"/>
      <c r="H29" s="23"/>
      <c r="I29" s="24"/>
      <c r="J29" s="24"/>
      <c r="K29" s="24"/>
      <c r="L29" s="24"/>
      <c r="M29" s="25"/>
      <c r="N29" s="25"/>
    </row>
    <row r="30" spans="2:17" ht="15.95" customHeight="1" x14ac:dyDescent="0.25">
      <c r="B30" s="23"/>
      <c r="C30" s="59" t="s">
        <v>19</v>
      </c>
      <c r="D30" s="141" t="s">
        <v>50</v>
      </c>
      <c r="E30" s="43"/>
      <c r="F30" s="24"/>
      <c r="G30" s="90"/>
      <c r="H30" s="23"/>
      <c r="I30" s="24"/>
      <c r="J30" s="24"/>
      <c r="K30" s="24"/>
      <c r="L30" s="24"/>
      <c r="M30" s="25"/>
      <c r="N30" s="25"/>
    </row>
    <row r="31" spans="2:17" ht="15.95" customHeight="1" x14ac:dyDescent="0.25">
      <c r="B31" s="23"/>
      <c r="C31" s="59" t="s">
        <v>14</v>
      </c>
      <c r="D31" s="142">
        <v>8.5000000000000006E-2</v>
      </c>
      <c r="E31" s="44"/>
      <c r="F31" s="24"/>
      <c r="G31" s="90"/>
      <c r="H31" s="96"/>
      <c r="I31" s="35"/>
      <c r="J31" s="24"/>
      <c r="K31" s="24"/>
      <c r="L31" s="24"/>
      <c r="M31" s="25"/>
      <c r="N31" s="25"/>
    </row>
    <row r="32" spans="2:17" ht="15.95" customHeight="1" x14ac:dyDescent="0.25">
      <c r="B32" s="23"/>
      <c r="C32" s="59" t="s">
        <v>42</v>
      </c>
      <c r="D32" s="143">
        <v>0.2</v>
      </c>
      <c r="E32" s="24"/>
      <c r="F32" s="24"/>
      <c r="G32" s="90"/>
      <c r="H32" s="23"/>
      <c r="I32" s="24"/>
      <c r="J32" s="24"/>
      <c r="K32" s="24"/>
      <c r="L32" s="24"/>
      <c r="M32" s="25"/>
      <c r="N32" s="25"/>
    </row>
    <row r="33" spans="2:14" ht="15.95" customHeight="1" x14ac:dyDescent="0.25">
      <c r="B33" s="23"/>
      <c r="C33" s="63"/>
      <c r="D33" s="145"/>
      <c r="E33" s="24"/>
      <c r="F33" s="24"/>
      <c r="G33" s="90"/>
      <c r="H33" s="23"/>
      <c r="I33" s="24"/>
      <c r="J33" s="24"/>
      <c r="K33" s="24"/>
      <c r="L33" s="24"/>
      <c r="M33" s="25"/>
      <c r="N33" s="25"/>
    </row>
    <row r="34" spans="2:14" ht="15.95" customHeight="1" x14ac:dyDescent="0.25">
      <c r="B34" s="23"/>
      <c r="C34" s="24"/>
      <c r="D34" s="24"/>
      <c r="E34" s="24"/>
      <c r="F34" s="24"/>
      <c r="G34" s="90"/>
      <c r="H34" s="23"/>
      <c r="I34" s="24"/>
      <c r="J34" s="24"/>
      <c r="K34" s="24"/>
      <c r="L34" s="24"/>
      <c r="M34" s="25"/>
      <c r="N34" s="25"/>
    </row>
    <row r="35" spans="2:14" ht="15.95" customHeight="1" x14ac:dyDescent="0.25">
      <c r="B35" s="23"/>
      <c r="C35" s="24"/>
      <c r="D35" s="24"/>
      <c r="E35" s="24"/>
      <c r="F35" s="24"/>
      <c r="G35" s="90"/>
      <c r="H35" s="23"/>
      <c r="I35" s="24"/>
      <c r="J35" s="24"/>
      <c r="K35" s="24"/>
      <c r="L35" s="24"/>
      <c r="M35" s="25"/>
      <c r="N35" s="25"/>
    </row>
    <row r="36" spans="2:14" ht="15.95" customHeight="1" x14ac:dyDescent="0.25">
      <c r="B36" s="23"/>
      <c r="C36" s="24"/>
      <c r="D36" s="24"/>
      <c r="E36" s="24"/>
      <c r="F36" s="24"/>
      <c r="G36" s="90"/>
      <c r="H36" s="23"/>
      <c r="I36" s="24"/>
      <c r="J36" s="24"/>
      <c r="K36" s="24"/>
      <c r="L36" s="24"/>
      <c r="M36" s="25"/>
      <c r="N36" s="25"/>
    </row>
    <row r="37" spans="2:14" ht="15.95" customHeight="1" x14ac:dyDescent="0.25">
      <c r="B37" s="23"/>
      <c r="C37" s="24"/>
      <c r="D37" s="24"/>
      <c r="E37" s="24"/>
      <c r="F37" s="24"/>
      <c r="G37" s="90"/>
      <c r="H37" s="23"/>
      <c r="I37" s="24"/>
      <c r="J37" s="24"/>
      <c r="K37" s="24"/>
      <c r="L37" s="24"/>
      <c r="M37" s="25"/>
      <c r="N37" s="25"/>
    </row>
    <row r="38" spans="2:14" ht="15.95" customHeight="1" x14ac:dyDescent="0.25">
      <c r="B38" s="23"/>
      <c r="C38" s="24"/>
      <c r="D38" s="24"/>
      <c r="E38" s="24"/>
      <c r="F38" s="24"/>
      <c r="G38" s="90"/>
      <c r="H38" s="23"/>
      <c r="I38" s="24"/>
      <c r="J38" s="24"/>
      <c r="K38" s="24"/>
      <c r="L38" s="24"/>
      <c r="M38" s="25"/>
      <c r="N38" s="25"/>
    </row>
    <row r="39" spans="2:14" ht="15.95" customHeight="1" x14ac:dyDescent="0.25">
      <c r="B39" s="23"/>
      <c r="C39" s="24"/>
      <c r="D39" s="24"/>
      <c r="E39" s="24"/>
      <c r="F39" s="24"/>
      <c r="G39" s="90"/>
      <c r="H39" s="23"/>
      <c r="I39" s="24"/>
      <c r="J39" s="24"/>
      <c r="K39" s="24"/>
      <c r="L39" s="24"/>
      <c r="M39" s="25"/>
      <c r="N39" s="25"/>
    </row>
    <row r="40" spans="2:14" ht="15.95" customHeight="1" x14ac:dyDescent="0.25">
      <c r="B40" s="23"/>
      <c r="C40" s="24"/>
      <c r="D40" s="24"/>
      <c r="E40" s="24"/>
      <c r="F40" s="24"/>
      <c r="G40" s="90"/>
      <c r="H40" s="26"/>
      <c r="I40" s="27"/>
      <c r="J40" s="27"/>
      <c r="K40" s="27"/>
      <c r="L40" s="27"/>
      <c r="M40" s="28"/>
      <c r="N40" s="25"/>
    </row>
    <row r="41" spans="2:14" ht="15.95" customHeight="1" x14ac:dyDescent="0.25">
      <c r="B41" s="26"/>
      <c r="C41" s="85"/>
      <c r="D41" s="27"/>
      <c r="E41" s="27"/>
      <c r="F41" s="27"/>
      <c r="G41" s="91"/>
      <c r="H41" s="27"/>
      <c r="I41" s="27"/>
      <c r="J41" s="27"/>
      <c r="K41" s="27"/>
      <c r="L41" s="27"/>
      <c r="M41" s="27"/>
      <c r="N41" s="28"/>
    </row>
  </sheetData>
  <mergeCells count="19">
    <mergeCell ref="H28:M28"/>
    <mergeCell ref="D14:E14"/>
    <mergeCell ref="D18:E18"/>
    <mergeCell ref="D19:E19"/>
    <mergeCell ref="C20:D20"/>
    <mergeCell ref="H24:I24"/>
    <mergeCell ref="H25:I25"/>
    <mergeCell ref="H26:I26"/>
    <mergeCell ref="K2:M2"/>
    <mergeCell ref="L5:M5"/>
    <mergeCell ref="C8:E8"/>
    <mergeCell ref="H8:I8"/>
    <mergeCell ref="D9:E9"/>
    <mergeCell ref="H9:I9"/>
    <mergeCell ref="D10:E10"/>
    <mergeCell ref="H10:I10"/>
    <mergeCell ref="D11:E11"/>
    <mergeCell ref="D12:E12"/>
    <mergeCell ref="H12:L12"/>
  </mergeCells>
  <dataValidations count="5">
    <dataValidation type="list" allowBlank="1" showInputMessage="1" showErrorMessage="1" sqref="D23:D24" xr:uid="{00000000-0002-0000-0700-000000000000}">
      <formula1>"ARS,USD,ARS/USD"</formula1>
    </dataValidation>
    <dataValidation type="list" allowBlank="1" showInputMessage="1" showErrorMessage="1" sqref="D12:E12" xr:uid="{00000000-0002-0000-0700-000001000000}">
      <formula1>"ON Pyme CNV Garantizada, Régimen General, ON Pyme, VCP"</formula1>
    </dataValidation>
    <dataValidation type="list" allowBlank="1" showInputMessage="1" showErrorMessage="1" sqref="D22" xr:uid="{00000000-0002-0000-0700-000002000000}">
      <formula1>"ARS,USD"</formula1>
    </dataValidation>
    <dataValidation type="list" allowBlank="1" showInputMessage="1" showErrorMessage="1" sqref="D15:D17" xr:uid="{00000000-0002-0000-0700-000003000000}">
      <formula1>"Individualización N°, Suspensión N°, Rueda Reducida N°"</formula1>
    </dataValidation>
    <dataValidation type="list" allowBlank="1" showInputMessage="1" showErrorMessage="1" sqref="D13" xr:uid="{00000000-0002-0000-0700-000004000000}">
      <formula1>$B$5:$B$50</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sheetPr>
  <dimension ref="A1:P166"/>
  <sheetViews>
    <sheetView topLeftCell="A44" zoomScaleNormal="100" workbookViewId="0">
      <pane xSplit="3" topLeftCell="L1" activePane="topRight" state="frozen"/>
      <selection pane="topRight" activeCell="J57" sqref="J57"/>
    </sheetView>
  </sheetViews>
  <sheetFormatPr baseColWidth="10" defaultRowHeight="15" x14ac:dyDescent="0.25"/>
  <cols>
    <col min="1" max="1" width="27.5703125" customWidth="1"/>
    <col min="2" max="2" width="19.85546875" customWidth="1"/>
    <col min="3" max="3" width="24.42578125" customWidth="1"/>
    <col min="4" max="4" width="6.42578125" style="12" customWidth="1"/>
    <col min="5" max="5" width="14.140625" customWidth="1"/>
    <col min="6" max="6" width="24.85546875" customWidth="1"/>
    <col min="7" max="7" width="12.5703125" style="157" customWidth="1"/>
    <col min="8" max="9" width="15.42578125" style="12" customWidth="1"/>
    <col min="10" max="10" width="18.140625" style="12" customWidth="1"/>
    <col min="11" max="11" width="18.5703125" style="12" customWidth="1"/>
    <col min="12" max="14" width="17.85546875" style="12" customWidth="1"/>
    <col min="15" max="15" width="33.140625" style="12" customWidth="1"/>
    <col min="16" max="16" width="33.140625" customWidth="1"/>
    <col min="17" max="18" width="31" customWidth="1"/>
  </cols>
  <sheetData>
    <row r="1" spans="1:16" ht="56.25" x14ac:dyDescent="0.25">
      <c r="A1" s="437" t="s">
        <v>409</v>
      </c>
      <c r="B1" s="437" t="s">
        <v>415</v>
      </c>
      <c r="C1" s="438" t="s">
        <v>408</v>
      </c>
      <c r="D1" s="438" t="s">
        <v>9</v>
      </c>
      <c r="E1" s="439" t="s">
        <v>8</v>
      </c>
      <c r="F1" s="439" t="s">
        <v>416</v>
      </c>
      <c r="G1" s="496" t="s">
        <v>422</v>
      </c>
      <c r="H1" s="439" t="s">
        <v>270</v>
      </c>
      <c r="I1" s="439" t="s">
        <v>29</v>
      </c>
      <c r="J1" s="440" t="s">
        <v>271</v>
      </c>
      <c r="K1" s="440" t="s">
        <v>417</v>
      </c>
      <c r="L1" s="440" t="s">
        <v>418</v>
      </c>
      <c r="M1" s="508" t="s">
        <v>521</v>
      </c>
      <c r="N1" s="508" t="s">
        <v>522</v>
      </c>
      <c r="O1" s="439" t="s">
        <v>18</v>
      </c>
      <c r="P1" s="439" t="s">
        <v>49</v>
      </c>
    </row>
    <row r="2" spans="1:16" x14ac:dyDescent="0.25">
      <c r="A2" s="441" t="s">
        <v>526</v>
      </c>
      <c r="B2" s="441" t="s">
        <v>527</v>
      </c>
      <c r="C2" s="442" t="s">
        <v>525</v>
      </c>
      <c r="D2" s="443" t="s">
        <v>407</v>
      </c>
      <c r="E2" s="442" t="s">
        <v>17</v>
      </c>
      <c r="F2" s="442" t="s">
        <v>309</v>
      </c>
      <c r="G2" s="514">
        <v>1</v>
      </c>
      <c r="H2" s="515">
        <v>45177</v>
      </c>
      <c r="I2" s="515">
        <v>45908</v>
      </c>
      <c r="J2" s="516">
        <v>200000</v>
      </c>
      <c r="K2" s="516">
        <f>+SUMIF(ARS!$D:$D,Tabla4[[#This Row],[Emision]],ARS!$G:$G)</f>
        <v>0</v>
      </c>
      <c r="L2" s="516">
        <f>+SUMIF(USD!$D:$D,Tabla4[[#This Row],[Emision]],USD!$G:$G)</f>
        <v>50000</v>
      </c>
      <c r="M2" s="516">
        <f>+Tabla4[[#This Row],[Valor Residual ARS]]*Tabla4[[#This Row],[% GARANTIZADO]]</f>
        <v>0</v>
      </c>
      <c r="N2" s="516">
        <f>+Tabla4[[#This Row],[Valor Residual USD]]*Tabla4[[#This Row],[% GARANTIZADO]]</f>
        <v>50000</v>
      </c>
      <c r="O2" s="517" t="str">
        <f>+IF(Tabla4[[#This Row],[Valor Residual ARS]]&gt;0,CONCATENATE(Tabla4[[#This Row],[Tipo]],""),CONCATENATE(Tabla4[[#This Row],[Tipo]],"vencida"))</f>
        <v>ON Pyme CNV Garantizadavencida</v>
      </c>
      <c r="P2" s="517" t="str">
        <f>+IF(Tabla4[[#This Row],[Valor Residual USD]]&gt;0,CONCATENATE(Tabla4[[#This Row],[Tipo]],""),CONCATENATE(Tabla4[[#This Row],[Tipo]],"vencida"))</f>
        <v>ON Pyme CNV Garantizada</v>
      </c>
    </row>
    <row r="3" spans="1:16" x14ac:dyDescent="0.25">
      <c r="A3" s="499" t="s">
        <v>16</v>
      </c>
      <c r="B3" s="441" t="s">
        <v>423</v>
      </c>
      <c r="C3" s="442" t="s">
        <v>53</v>
      </c>
      <c r="D3" s="443" t="s">
        <v>406</v>
      </c>
      <c r="E3" s="442" t="s">
        <v>17</v>
      </c>
      <c r="F3" s="442" t="s">
        <v>309</v>
      </c>
      <c r="G3" s="497">
        <v>1</v>
      </c>
      <c r="H3" s="448">
        <v>43468</v>
      </c>
      <c r="I3" s="448">
        <v>44199</v>
      </c>
      <c r="J3" s="449">
        <v>7200000</v>
      </c>
      <c r="K3" s="449">
        <f>+SUMIF(ARS!$D:$D,Tabla4[[#This Row],[Emision]],ARS!$G:$G)</f>
        <v>0</v>
      </c>
      <c r="L3" s="449">
        <f>+SUMIF(USD!$D:$D,Tabla4[[#This Row],[Emision]],USD!$G:$G)</f>
        <v>0</v>
      </c>
      <c r="M3" s="453">
        <f>+Tabla4[[#This Row],[Valor Residual ARS]]*Tabla4[[#This Row],[% GARANTIZADO]]</f>
        <v>0</v>
      </c>
      <c r="N3" s="453">
        <f>+Tabla4[[#This Row],[Valor Residual USD]]*Tabla4[[#This Row],[% GARANTIZADO]]</f>
        <v>0</v>
      </c>
      <c r="O3" s="490" t="str">
        <f>+IF(Tabla4[[#This Row],[Valor Residual ARS]]&gt;0,CONCATENATE(Tabla4[[#This Row],[Tipo]],""),CONCATENATE(Tabla4[[#This Row],[Tipo]],"vencida"))</f>
        <v>ON Pyme CNV Garantizadavencida</v>
      </c>
      <c r="P3" s="490" t="str">
        <f>+IF(Tabla4[[#This Row],[Valor Residual USD]]&gt;0,CONCATENATE(Tabla4[[#This Row],[Tipo]],""),CONCATENATE(Tabla4[[#This Row],[Tipo]],"vencida"))</f>
        <v>ON Pyme CNV Garantizadavencida</v>
      </c>
    </row>
    <row r="4" spans="1:16" x14ac:dyDescent="0.25">
      <c r="A4" s="441" t="s">
        <v>16</v>
      </c>
      <c r="B4" s="441" t="s">
        <v>423</v>
      </c>
      <c r="C4" s="442" t="s">
        <v>15</v>
      </c>
      <c r="D4" s="443" t="s">
        <v>406</v>
      </c>
      <c r="E4" s="442" t="s">
        <v>17</v>
      </c>
      <c r="F4" s="442" t="s">
        <v>309</v>
      </c>
      <c r="G4" s="497">
        <v>1</v>
      </c>
      <c r="H4" s="448">
        <v>43382</v>
      </c>
      <c r="I4" s="448">
        <v>44478</v>
      </c>
      <c r="J4" s="449">
        <v>5900000</v>
      </c>
      <c r="K4" s="449">
        <f>+SUMIF(ARS!$D:$D,Tabla4[[#This Row],[Emision]],ARS!$G:$G)</f>
        <v>0</v>
      </c>
      <c r="L4" s="449">
        <f>+SUMIF(USD!$D:$D,Tabla4[[#This Row],[Emision]],USD!$G:$G)</f>
        <v>0</v>
      </c>
      <c r="M4" s="449">
        <f>+Tabla4[[#This Row],[Valor Residual ARS]]*Tabla4[[#This Row],[% GARANTIZADO]]</f>
        <v>0</v>
      </c>
      <c r="N4" s="449">
        <f>+Tabla4[[#This Row],[Valor Residual USD]]*Tabla4[[#This Row],[% GARANTIZADO]]</f>
        <v>0</v>
      </c>
      <c r="O4" s="490" t="str">
        <f>+IF(Tabla4[[#This Row],[Valor Residual ARS]]&gt;0,CONCATENATE(Tabla4[[#This Row],[Tipo]],""),CONCATENATE(Tabla4[[#This Row],[Tipo]],"vencida"))</f>
        <v>ON Pyme CNV Garantizadavencida</v>
      </c>
      <c r="P4" s="490" t="str">
        <f>+IF(Tabla4[[#This Row],[Valor Residual USD]]&gt;0,CONCATENATE(Tabla4[[#This Row],[Tipo]],""),CONCATENATE(Tabla4[[#This Row],[Tipo]],"vencida"))</f>
        <v>ON Pyme CNV Garantizadavencida</v>
      </c>
    </row>
    <row r="5" spans="1:16" x14ac:dyDescent="0.25">
      <c r="A5" s="441" t="s">
        <v>16</v>
      </c>
      <c r="B5" s="441" t="s">
        <v>423</v>
      </c>
      <c r="C5" s="442" t="s">
        <v>354</v>
      </c>
      <c r="D5" s="443" t="s">
        <v>406</v>
      </c>
      <c r="E5" s="442" t="s">
        <v>17</v>
      </c>
      <c r="F5" s="442" t="s">
        <v>325</v>
      </c>
      <c r="G5" s="497">
        <v>1</v>
      </c>
      <c r="H5" s="450">
        <v>44469</v>
      </c>
      <c r="I5" s="450">
        <v>45199</v>
      </c>
      <c r="J5" s="451">
        <v>10000000</v>
      </c>
      <c r="K5" s="451">
        <f>+SUMIF(ARS!$D:$D,Tabla4[[#This Row],[Emision]],ARS!$G:$G)</f>
        <v>0</v>
      </c>
      <c r="L5" s="449">
        <f>+SUMIF(USD!$D:$D,Tabla4[[#This Row],[Emision]],USD!$G:$G)</f>
        <v>0</v>
      </c>
      <c r="M5" s="449">
        <f>+Tabla4[[#This Row],[Valor Residual ARS]]*Tabla4[[#This Row],[% GARANTIZADO]]</f>
        <v>0</v>
      </c>
      <c r="N5" s="449">
        <f>+Tabla4[[#This Row],[Valor Residual USD]]*Tabla4[[#This Row],[% GARANTIZADO]]</f>
        <v>0</v>
      </c>
      <c r="O5" s="490" t="str">
        <f>+IF(Tabla4[[#This Row],[Valor Residual ARS]]&gt;0,CONCATENATE(Tabla4[[#This Row],[Tipo]],""),CONCATENATE(Tabla4[[#This Row],[Tipo]],"vencida"))</f>
        <v>ON Pyme CNV Garantizadavencida</v>
      </c>
      <c r="P5" s="490" t="str">
        <f>+IF(Tabla4[[#This Row],[Valor Residual USD]]&gt;0,CONCATENATE(Tabla4[[#This Row],[Tipo]],""),CONCATENATE(Tabla4[[#This Row],[Tipo]],"vencida"))</f>
        <v>ON Pyme CNV Garantizadavencida</v>
      </c>
    </row>
    <row r="6" spans="1:16" x14ac:dyDescent="0.25">
      <c r="A6" s="441" t="s">
        <v>375</v>
      </c>
      <c r="B6" s="441" t="s">
        <v>424</v>
      </c>
      <c r="C6" s="442" t="s">
        <v>376</v>
      </c>
      <c r="D6" s="443" t="s">
        <v>406</v>
      </c>
      <c r="E6" s="442" t="s">
        <v>17</v>
      </c>
      <c r="F6" s="442" t="s">
        <v>308</v>
      </c>
      <c r="G6" s="497">
        <v>1</v>
      </c>
      <c r="H6" s="448">
        <v>44740</v>
      </c>
      <c r="I6" s="448">
        <v>45471</v>
      </c>
      <c r="J6" s="449">
        <v>30000000</v>
      </c>
      <c r="K6" s="449">
        <f>+SUMIF(ARS!$D:$D,Tabla4[[#This Row],[Emision]],ARS!$G:$G)</f>
        <v>0</v>
      </c>
      <c r="L6" s="449">
        <f>+SUMIF(USD!$D:$D,Tabla4[[#This Row],[Emision]],USD!$G:$G)</f>
        <v>0</v>
      </c>
      <c r="M6" s="449">
        <f>+Tabla4[[#This Row],[Valor Residual ARS]]*Tabla4[[#This Row],[% GARANTIZADO]]</f>
        <v>0</v>
      </c>
      <c r="N6" s="449">
        <f>+Tabla4[[#This Row],[Valor Residual USD]]*Tabla4[[#This Row],[% GARANTIZADO]]</f>
        <v>0</v>
      </c>
      <c r="O6" s="490" t="str">
        <f>+IF(Tabla4[[#This Row],[Valor Residual ARS]]&gt;0,CONCATENATE(Tabla4[[#This Row],[Tipo]],""),CONCATENATE(Tabla4[[#This Row],[Tipo]],"vencida"))</f>
        <v>ON Pyme CNV Garantizadavencida</v>
      </c>
      <c r="P6" s="490" t="str">
        <f>+IF(Tabla4[[#This Row],[Valor Residual USD]]&gt;0,CONCATENATE(Tabla4[[#This Row],[Tipo]],""),CONCATENATE(Tabla4[[#This Row],[Tipo]],"vencida"))</f>
        <v>ON Pyme CNV Garantizadavencida</v>
      </c>
    </row>
    <row r="7" spans="1:16" x14ac:dyDescent="0.25">
      <c r="A7" s="441" t="s">
        <v>87</v>
      </c>
      <c r="B7" s="441" t="s">
        <v>447</v>
      </c>
      <c r="C7" s="442" t="s">
        <v>140</v>
      </c>
      <c r="D7" s="443" t="s">
        <v>407</v>
      </c>
      <c r="E7" s="442" t="s">
        <v>17</v>
      </c>
      <c r="F7" s="442" t="s">
        <v>297</v>
      </c>
      <c r="G7" s="497">
        <v>1</v>
      </c>
      <c r="H7" s="448">
        <v>43017</v>
      </c>
      <c r="I7" s="448">
        <v>43930</v>
      </c>
      <c r="J7" s="449">
        <v>400000</v>
      </c>
      <c r="K7" s="449">
        <f>+SUMIF(ARS!$D:$D,Tabla4[[#This Row],[Emision]],ARS!$G:$G)</f>
        <v>0</v>
      </c>
      <c r="L7" s="449">
        <f>+SUMIF(USD!$D:$D,Tabla4[[#This Row],[Emision]],USD!$G:$G)</f>
        <v>0</v>
      </c>
      <c r="M7" s="449">
        <f>+Tabla4[[#This Row],[Valor Residual ARS]]*Tabla4[[#This Row],[% GARANTIZADO]]</f>
        <v>0</v>
      </c>
      <c r="N7" s="449">
        <f>+Tabla4[[#This Row],[Valor Residual USD]]*Tabla4[[#This Row],[% GARANTIZADO]]</f>
        <v>0</v>
      </c>
      <c r="O7" s="490" t="str">
        <f>+IF(Tabla4[[#This Row],[Valor Residual ARS]]&gt;0,CONCATENATE(Tabla4[[#This Row],[Tipo]],""),CONCATENATE(Tabla4[[#This Row],[Tipo]],"vencida"))</f>
        <v>ON Pyme CNV Garantizadavencida</v>
      </c>
      <c r="P7" s="490" t="str">
        <f>+IF(Tabla4[[#This Row],[Valor Residual USD]]&gt;0,CONCATENATE(Tabla4[[#This Row],[Tipo]],""),CONCATENATE(Tabla4[[#This Row],[Tipo]],"vencida"))</f>
        <v>ON Pyme CNV Garantizadavencida</v>
      </c>
    </row>
    <row r="8" spans="1:16" x14ac:dyDescent="0.25">
      <c r="A8" s="441" t="s">
        <v>87</v>
      </c>
      <c r="B8" s="441" t="s">
        <v>447</v>
      </c>
      <c r="C8" s="442" t="s">
        <v>151</v>
      </c>
      <c r="D8" s="443" t="s">
        <v>407</v>
      </c>
      <c r="E8" s="442" t="s">
        <v>17</v>
      </c>
      <c r="F8" s="442" t="s">
        <v>325</v>
      </c>
      <c r="G8" s="497">
        <v>1</v>
      </c>
      <c r="H8" s="448">
        <v>43031</v>
      </c>
      <c r="I8" s="448">
        <v>44492</v>
      </c>
      <c r="J8" s="449">
        <v>300000</v>
      </c>
      <c r="K8" s="449">
        <f>+SUMIF(ARS!$D:$D,Tabla4[[#This Row],[Emision]],ARS!$G:$G)</f>
        <v>0</v>
      </c>
      <c r="L8" s="449">
        <f>+SUMIF(USD!$D:$D,Tabla4[[#This Row],[Emision]],USD!$G:$G)</f>
        <v>0</v>
      </c>
      <c r="M8" s="449">
        <f>+Tabla4[[#This Row],[Valor Residual ARS]]*Tabla4[[#This Row],[% GARANTIZADO]]</f>
        <v>0</v>
      </c>
      <c r="N8" s="449">
        <f>+Tabla4[[#This Row],[Valor Residual USD]]*Tabla4[[#This Row],[% GARANTIZADO]]</f>
        <v>0</v>
      </c>
      <c r="O8" s="490" t="str">
        <f>+IF(Tabla4[[#This Row],[Valor Residual ARS]]&gt;0,CONCATENATE(Tabla4[[#This Row],[Tipo]],""),CONCATENATE(Tabla4[[#This Row],[Tipo]],"vencida"))</f>
        <v>ON Pyme CNV Garantizadavencida</v>
      </c>
      <c r="P8" s="490" t="str">
        <f>+IF(Tabla4[[#This Row],[Valor Residual USD]]&gt;0,CONCATENATE(Tabla4[[#This Row],[Tipo]],""),CONCATENATE(Tabla4[[#This Row],[Tipo]],"vencida"))</f>
        <v>ON Pyme CNV Garantizadavencida</v>
      </c>
    </row>
    <row r="9" spans="1:16" x14ac:dyDescent="0.25">
      <c r="A9" s="441" t="s">
        <v>389</v>
      </c>
      <c r="B9" s="441" t="s">
        <v>425</v>
      </c>
      <c r="C9" s="442" t="s">
        <v>388</v>
      </c>
      <c r="D9" s="443" t="s">
        <v>406</v>
      </c>
      <c r="E9" s="442" t="s">
        <v>17</v>
      </c>
      <c r="F9" s="442" t="s">
        <v>309</v>
      </c>
      <c r="G9" s="497">
        <v>1</v>
      </c>
      <c r="H9" s="448">
        <v>44495</v>
      </c>
      <c r="I9" s="448">
        <v>45408</v>
      </c>
      <c r="J9" s="449">
        <v>29000000</v>
      </c>
      <c r="K9" s="449">
        <f ca="1">+SUMIF(ARS!$D:$D,Tabla4[[#This Row],[Emision]],ARS!$G:$G)</f>
        <v>0</v>
      </c>
      <c r="L9" s="449">
        <f>+SUMIF(USD!$D:$D,Tabla4[[#This Row],[Emision]],USD!$G:$G)</f>
        <v>0</v>
      </c>
      <c r="M9" s="449">
        <f ca="1">+Tabla4[[#This Row],[Valor Residual ARS]]*Tabla4[[#This Row],[% GARANTIZADO]]</f>
        <v>0</v>
      </c>
      <c r="N9" s="449">
        <f>+Tabla4[[#This Row],[Valor Residual USD]]*Tabla4[[#This Row],[% GARANTIZADO]]</f>
        <v>0</v>
      </c>
      <c r="O9" s="490" t="str">
        <f ca="1">+IF(Tabla4[[#This Row],[Valor Residual ARS]]&gt;0,CONCATENATE(Tabla4[[#This Row],[Tipo]],""),CONCATENATE(Tabla4[[#This Row],[Tipo]],"vencida"))</f>
        <v>ON Pyme CNV Garantizadavencida</v>
      </c>
      <c r="P9" s="490" t="str">
        <f>+IF(Tabla4[[#This Row],[Valor Residual USD]]&gt;0,CONCATENATE(Tabla4[[#This Row],[Tipo]],""),CONCATENATE(Tabla4[[#This Row],[Tipo]],"vencida"))</f>
        <v>ON Pyme CNV Garantizadavencida</v>
      </c>
    </row>
    <row r="10" spans="1:16" x14ac:dyDescent="0.25">
      <c r="A10" s="441" t="s">
        <v>57</v>
      </c>
      <c r="B10" s="441" t="s">
        <v>509</v>
      </c>
      <c r="C10" s="442" t="s">
        <v>56</v>
      </c>
      <c r="D10" s="443" t="s">
        <v>406</v>
      </c>
      <c r="E10" s="442" t="s">
        <v>17</v>
      </c>
      <c r="F10" s="444" t="s">
        <v>308</v>
      </c>
      <c r="G10" s="497">
        <v>0.45450000000000002</v>
      </c>
      <c r="H10" s="448">
        <v>43311</v>
      </c>
      <c r="I10" s="448">
        <v>44407</v>
      </c>
      <c r="J10" s="449">
        <v>33000000</v>
      </c>
      <c r="K10" s="449">
        <f>+SUMIF(ARS!$D:$D,Tabla4[[#This Row],[Emision]],ARS!$G:$G)</f>
        <v>0</v>
      </c>
      <c r="L10" s="449">
        <f>+SUMIF(USD!$D:$D,Tabla4[[#This Row],[Emision]],USD!$G:$G)</f>
        <v>0</v>
      </c>
      <c r="M10" s="449">
        <f>+Tabla4[[#This Row],[Valor Residual ARS]]*Tabla4[[#This Row],[% GARANTIZADO]]</f>
        <v>0</v>
      </c>
      <c r="N10" s="449">
        <f>+Tabla4[[#This Row],[Valor Residual USD]]*Tabla4[[#This Row],[% GARANTIZADO]]</f>
        <v>0</v>
      </c>
      <c r="O10" s="490" t="str">
        <f>+IF(Tabla4[[#This Row],[Valor Residual ARS]]&gt;0,CONCATENATE(Tabla4[[#This Row],[Tipo]],""),CONCATENATE(Tabla4[[#This Row],[Tipo]],"vencida"))</f>
        <v>ON Pyme CNV Garantizadavencida</v>
      </c>
      <c r="P10" s="490" t="str">
        <f>+IF(Tabla4[[#This Row],[Valor Residual USD]]&gt;0,CONCATENATE(Tabla4[[#This Row],[Tipo]],""),CONCATENATE(Tabla4[[#This Row],[Tipo]],"vencida"))</f>
        <v>ON Pyme CNV Garantizadavencida</v>
      </c>
    </row>
    <row r="11" spans="1:16" x14ac:dyDescent="0.25">
      <c r="A11" s="441" t="s">
        <v>57</v>
      </c>
      <c r="B11" s="441" t="s">
        <v>509</v>
      </c>
      <c r="C11" s="442" t="s">
        <v>56</v>
      </c>
      <c r="D11" s="443" t="s">
        <v>406</v>
      </c>
      <c r="E11" s="442" t="s">
        <v>17</v>
      </c>
      <c r="F11" s="442" t="s">
        <v>303</v>
      </c>
      <c r="G11" s="497">
        <v>0.2273</v>
      </c>
      <c r="H11" s="448">
        <v>43311</v>
      </c>
      <c r="I11" s="448">
        <v>44407</v>
      </c>
      <c r="J11" s="449">
        <v>33000000</v>
      </c>
      <c r="K11" s="449">
        <f>+SUMIF(ARS!$D:$D,Tabla4[[#This Row],[Emision]],ARS!$G:$G)</f>
        <v>0</v>
      </c>
      <c r="L11" s="449">
        <f>+SUMIF(USD!$D:$D,Tabla4[[#This Row],[Emision]],USD!$G:$G)</f>
        <v>0</v>
      </c>
      <c r="M11" s="449">
        <f>+Tabla4[[#This Row],[Valor Residual ARS]]*Tabla4[[#This Row],[% GARANTIZADO]]</f>
        <v>0</v>
      </c>
      <c r="N11" s="449">
        <f>+Tabla4[[#This Row],[Valor Residual USD]]*Tabla4[[#This Row],[% GARANTIZADO]]</f>
        <v>0</v>
      </c>
      <c r="O11" s="490" t="str">
        <f>+IF(Tabla4[[#This Row],[Valor Residual ARS]]&gt;0,CONCATENATE(Tabla4[[#This Row],[Tipo]],""),CONCATENATE(Tabla4[[#This Row],[Tipo]],"vencida"))</f>
        <v>ON Pyme CNV Garantizadavencida</v>
      </c>
      <c r="P11" s="490" t="str">
        <f>+IF(Tabla4[[#This Row],[Valor Residual USD]]&gt;0,CONCATENATE(Tabla4[[#This Row],[Tipo]],""),CONCATENATE(Tabla4[[#This Row],[Tipo]],"vencida"))</f>
        <v>ON Pyme CNV Garantizadavencida</v>
      </c>
    </row>
    <row r="12" spans="1:16" x14ac:dyDescent="0.25">
      <c r="A12" s="441" t="s">
        <v>57</v>
      </c>
      <c r="B12" s="441" t="s">
        <v>509</v>
      </c>
      <c r="C12" s="442" t="s">
        <v>56</v>
      </c>
      <c r="D12" s="443" t="s">
        <v>406</v>
      </c>
      <c r="E12" s="442" t="s">
        <v>17</v>
      </c>
      <c r="F12" s="442" t="s">
        <v>325</v>
      </c>
      <c r="G12" s="497">
        <v>0.31819999999999998</v>
      </c>
      <c r="H12" s="448">
        <v>43311</v>
      </c>
      <c r="I12" s="448">
        <v>44407</v>
      </c>
      <c r="J12" s="449">
        <v>33000000</v>
      </c>
      <c r="K12" s="449">
        <f>+SUMIF(ARS!$D:$D,Tabla4[[#This Row],[Emision]],ARS!$G:$G)</f>
        <v>0</v>
      </c>
      <c r="L12" s="449">
        <f>+SUMIF(USD!$D:$D,Tabla4[[#This Row],[Emision]],USD!$G:$G)</f>
        <v>0</v>
      </c>
      <c r="M12" s="449">
        <f>+Tabla4[[#This Row],[Valor Residual ARS]]*Tabla4[[#This Row],[% GARANTIZADO]]</f>
        <v>0</v>
      </c>
      <c r="N12" s="449">
        <f>+Tabla4[[#This Row],[Valor Residual USD]]*Tabla4[[#This Row],[% GARANTIZADO]]</f>
        <v>0</v>
      </c>
      <c r="O12" s="490" t="str">
        <f>+IF(Tabla4[[#This Row],[Valor Residual ARS]]&gt;0,CONCATENATE(Tabla4[[#This Row],[Tipo]],""),CONCATENATE(Tabla4[[#This Row],[Tipo]],"vencida"))</f>
        <v>ON Pyme CNV Garantizadavencida</v>
      </c>
      <c r="P12" s="490" t="str">
        <f>+IF(Tabla4[[#This Row],[Valor Residual USD]]&gt;0,CONCATENATE(Tabla4[[#This Row],[Tipo]],""),CONCATENATE(Tabla4[[#This Row],[Tipo]],"vencida"))</f>
        <v>ON Pyme CNV Garantizadavencida</v>
      </c>
    </row>
    <row r="13" spans="1:16" x14ac:dyDescent="0.25">
      <c r="A13" s="441" t="s">
        <v>384</v>
      </c>
      <c r="B13" s="441" t="s">
        <v>426</v>
      </c>
      <c r="C13" s="442" t="s">
        <v>383</v>
      </c>
      <c r="D13" s="443" t="s">
        <v>407</v>
      </c>
      <c r="E13" s="442" t="s">
        <v>17</v>
      </c>
      <c r="F13" s="442" t="s">
        <v>308</v>
      </c>
      <c r="G13" s="497">
        <v>1</v>
      </c>
      <c r="H13" s="448">
        <v>44790</v>
      </c>
      <c r="I13" s="448">
        <v>45521</v>
      </c>
      <c r="J13" s="449">
        <v>600000</v>
      </c>
      <c r="K13" s="449">
        <f>+SUMIF(ARS!$D:$D,Tabla4[[#This Row],[Emision]],ARS!$G:$G)</f>
        <v>0</v>
      </c>
      <c r="L13" s="449">
        <f>+SUMIF(USD!$D:$D,Tabla4[[#This Row],[Emision]],USD!$G:$G)</f>
        <v>0</v>
      </c>
      <c r="M13" s="449">
        <f>+Tabla4[[#This Row],[Valor Residual ARS]]*Tabla4[[#This Row],[% GARANTIZADO]]</f>
        <v>0</v>
      </c>
      <c r="N13" s="449">
        <f>+Tabla4[[#This Row],[Valor Residual USD]]*Tabla4[[#This Row],[% GARANTIZADO]]</f>
        <v>0</v>
      </c>
      <c r="O13" s="490" t="str">
        <f>+IF(Tabla4[[#This Row],[Valor Residual ARS]]&gt;0,CONCATENATE(Tabla4[[#This Row],[Tipo]],""),CONCATENATE(Tabla4[[#This Row],[Tipo]],"vencida"))</f>
        <v>ON Pyme CNV Garantizadavencida</v>
      </c>
      <c r="P13" s="490" t="str">
        <f>+IF(Tabla4[[#This Row],[Valor Residual USD]]&gt;0,CONCATENATE(Tabla4[[#This Row],[Tipo]],""),CONCATENATE(Tabla4[[#This Row],[Tipo]],"vencida"))</f>
        <v>ON Pyme CNV Garantizadavencida</v>
      </c>
    </row>
    <row r="14" spans="1:16" x14ac:dyDescent="0.25">
      <c r="A14" s="441" t="s">
        <v>412</v>
      </c>
      <c r="B14" s="441" t="s">
        <v>448</v>
      </c>
      <c r="C14" s="442" t="s">
        <v>89</v>
      </c>
      <c r="D14" s="443" t="s">
        <v>407</v>
      </c>
      <c r="E14" s="442" t="s">
        <v>17</v>
      </c>
      <c r="F14" s="442" t="s">
        <v>309</v>
      </c>
      <c r="G14" s="497">
        <v>1</v>
      </c>
      <c r="H14" s="448">
        <v>43612</v>
      </c>
      <c r="I14" s="448">
        <v>44708</v>
      </c>
      <c r="J14" s="449">
        <v>200000</v>
      </c>
      <c r="K14" s="449">
        <f>+SUMIF(ARS!$D:$D,Tabla4[[#This Row],[Emision]],ARS!$G:$G)</f>
        <v>0</v>
      </c>
      <c r="L14" s="449">
        <f>+SUMIF(USD!$D:$D,Tabla4[[#This Row],[Emision]],USD!$G:$G)</f>
        <v>0</v>
      </c>
      <c r="M14" s="449">
        <f>+Tabla4[[#This Row],[Valor Residual ARS]]*Tabla4[[#This Row],[% GARANTIZADO]]</f>
        <v>0</v>
      </c>
      <c r="N14" s="449">
        <f>+Tabla4[[#This Row],[Valor Residual USD]]*Tabla4[[#This Row],[% GARANTIZADO]]</f>
        <v>0</v>
      </c>
      <c r="O14" s="490" t="str">
        <f>+IF(Tabla4[[#This Row],[Valor Residual ARS]]&gt;0,CONCATENATE(Tabla4[[#This Row],[Tipo]],""),CONCATENATE(Tabla4[[#This Row],[Tipo]],"vencida"))</f>
        <v>ON Pyme CNV Garantizadavencida</v>
      </c>
      <c r="P14" s="490" t="str">
        <f>+IF(Tabla4[[#This Row],[Valor Residual USD]]&gt;0,CONCATENATE(Tabla4[[#This Row],[Tipo]],""),CONCATENATE(Tabla4[[#This Row],[Tipo]],"vencida"))</f>
        <v>ON Pyme CNV Garantizadavencida</v>
      </c>
    </row>
    <row r="15" spans="1:16" x14ac:dyDescent="0.25">
      <c r="A15" s="441" t="s">
        <v>90</v>
      </c>
      <c r="B15" s="441" t="s">
        <v>449</v>
      </c>
      <c r="C15" s="442" t="s">
        <v>141</v>
      </c>
      <c r="D15" s="443" t="s">
        <v>407</v>
      </c>
      <c r="E15" s="442" t="s">
        <v>17</v>
      </c>
      <c r="F15" s="442" t="s">
        <v>325</v>
      </c>
      <c r="G15" s="497">
        <v>0.5</v>
      </c>
      <c r="H15" s="448">
        <v>43186</v>
      </c>
      <c r="I15" s="448">
        <v>44282</v>
      </c>
      <c r="J15" s="449">
        <v>1000000</v>
      </c>
      <c r="K15" s="449">
        <f>+SUMIF(ARS!$D:$D,Tabla4[[#This Row],[Emision]],ARS!$G:$G)</f>
        <v>0</v>
      </c>
      <c r="L15" s="449">
        <f>+SUMIF(USD!$D:$D,Tabla4[[#This Row],[Emision]],USD!$G:$G)</f>
        <v>0</v>
      </c>
      <c r="M15" s="449">
        <f>+Tabla4[[#This Row],[Valor Residual ARS]]*Tabla4[[#This Row],[% GARANTIZADO]]</f>
        <v>0</v>
      </c>
      <c r="N15" s="449">
        <f>+Tabla4[[#This Row],[Valor Residual USD]]*Tabla4[[#This Row],[% GARANTIZADO]]</f>
        <v>0</v>
      </c>
      <c r="O15" s="490" t="str">
        <f>+IF(Tabla4[[#This Row],[Valor Residual ARS]]&gt;0,CONCATENATE(Tabla4[[#This Row],[Tipo]],""),CONCATENATE(Tabla4[[#This Row],[Tipo]],"vencida"))</f>
        <v>ON Pyme CNV Garantizadavencida</v>
      </c>
      <c r="P15" s="490" t="str">
        <f>+IF(Tabla4[[#This Row],[Valor Residual USD]]&gt;0,CONCATENATE(Tabla4[[#This Row],[Tipo]],""),CONCATENATE(Tabla4[[#This Row],[Tipo]],"vencida"))</f>
        <v>ON Pyme CNV Garantizadavencida</v>
      </c>
    </row>
    <row r="16" spans="1:16" x14ac:dyDescent="0.25">
      <c r="A16" s="441" t="s">
        <v>90</v>
      </c>
      <c r="B16" s="441" t="s">
        <v>449</v>
      </c>
      <c r="C16" s="442" t="s">
        <v>141</v>
      </c>
      <c r="D16" s="443" t="s">
        <v>407</v>
      </c>
      <c r="E16" s="442" t="s">
        <v>17</v>
      </c>
      <c r="F16" s="442" t="s">
        <v>309</v>
      </c>
      <c r="G16" s="497">
        <v>0.5</v>
      </c>
      <c r="H16" s="448">
        <v>43186</v>
      </c>
      <c r="I16" s="448">
        <v>44282</v>
      </c>
      <c r="J16" s="449">
        <v>1000000</v>
      </c>
      <c r="K16" s="449">
        <f>+SUMIF(ARS!$D:$D,Tabla4[[#This Row],[Emision]],ARS!$G:$G)</f>
        <v>0</v>
      </c>
      <c r="L16" s="449">
        <f>+SUMIF(USD!$D:$D,Tabla4[[#This Row],[Emision]],USD!$G:$G)</f>
        <v>0</v>
      </c>
      <c r="M16" s="449">
        <f>+Tabla4[[#This Row],[Valor Residual ARS]]*Tabla4[[#This Row],[% GARANTIZADO]]</f>
        <v>0</v>
      </c>
      <c r="N16" s="449">
        <f>+Tabla4[[#This Row],[Valor Residual USD]]*Tabla4[[#This Row],[% GARANTIZADO]]</f>
        <v>0</v>
      </c>
      <c r="O16" s="490" t="str">
        <f>+IF(Tabla4[[#This Row],[Valor Residual ARS]]&gt;0,CONCATENATE(Tabla4[[#This Row],[Tipo]],""),CONCATENATE(Tabla4[[#This Row],[Tipo]],"vencida"))</f>
        <v>ON Pyme CNV Garantizadavencida</v>
      </c>
      <c r="P16" s="490" t="str">
        <f>+IF(Tabla4[[#This Row],[Valor Residual USD]]&gt;0,CONCATENATE(Tabla4[[#This Row],[Tipo]],""),CONCATENATE(Tabla4[[#This Row],[Tipo]],"vencida"))</f>
        <v>ON Pyme CNV Garantizadavencida</v>
      </c>
    </row>
    <row r="17" spans="1:16" x14ac:dyDescent="0.25">
      <c r="A17" s="441" t="s">
        <v>90</v>
      </c>
      <c r="B17" s="441" t="s">
        <v>449</v>
      </c>
      <c r="C17" s="442" t="s">
        <v>524</v>
      </c>
      <c r="D17" s="443" t="s">
        <v>407</v>
      </c>
      <c r="E17" s="442" t="s">
        <v>17</v>
      </c>
      <c r="F17" s="444" t="s">
        <v>325</v>
      </c>
      <c r="G17" s="498">
        <v>1</v>
      </c>
      <c r="H17" s="450">
        <v>45076</v>
      </c>
      <c r="I17" s="450">
        <v>46172</v>
      </c>
      <c r="J17" s="451">
        <v>1000000</v>
      </c>
      <c r="K17" s="451">
        <f>+SUMIF(ARS!$D:$D,Tabla4[[#This Row],[Emision]],ARS!$G:$G)</f>
        <v>0</v>
      </c>
      <c r="L17" s="451">
        <f>+SUMIF(USD!$D:$D,Tabla4[[#This Row],[Emision]],USD!$G:$G)</f>
        <v>333333.33333333326</v>
      </c>
      <c r="M17" s="507">
        <f>+Tabla4[[#This Row],[Valor Residual ARS]]*Tabla4[[#This Row],[% GARANTIZADO]]</f>
        <v>0</v>
      </c>
      <c r="N17" s="507">
        <f>+Tabla4[[#This Row],[Valor Residual USD]]*Tabla4[[#This Row],[% GARANTIZADO]]</f>
        <v>333333.33333333326</v>
      </c>
      <c r="O17" s="495" t="str">
        <f>+IF(Tabla4[[#This Row],[Valor Residual ARS]]&gt;0,CONCATENATE(Tabla4[[#This Row],[Tipo]],""),CONCATENATE(Tabla4[[#This Row],[Tipo]],"vencida"))</f>
        <v>ON Pyme CNV Garantizadavencida</v>
      </c>
      <c r="P17" s="495" t="str">
        <f>+IF(Tabla4[[#This Row],[Valor Residual USD]]&gt;0,CONCATENATE(Tabla4[[#This Row],[Tipo]],""),CONCATENATE(Tabla4[[#This Row],[Tipo]],"vencida"))</f>
        <v>ON Pyme CNV Garantizada</v>
      </c>
    </row>
    <row r="18" spans="1:16" x14ac:dyDescent="0.25">
      <c r="A18" s="441" t="s">
        <v>368</v>
      </c>
      <c r="B18" s="441" t="s">
        <v>427</v>
      </c>
      <c r="C18" s="442" t="s">
        <v>367</v>
      </c>
      <c r="D18" s="443" t="s">
        <v>406</v>
      </c>
      <c r="E18" s="442" t="s">
        <v>17</v>
      </c>
      <c r="F18" s="442" t="s">
        <v>325</v>
      </c>
      <c r="G18" s="497">
        <v>1</v>
      </c>
      <c r="H18" s="448">
        <v>44651</v>
      </c>
      <c r="I18" s="448">
        <v>45747</v>
      </c>
      <c r="J18" s="449">
        <v>22000000</v>
      </c>
      <c r="K18" s="449">
        <f>+SUMIF(ARS!$D:$D,Tabla4[[#This Row],[Emision]],ARS!$G:$G)</f>
        <v>0</v>
      </c>
      <c r="L18" s="449">
        <f>+SUMIF(USD!$D:$D,Tabla4[[#This Row],[Emision]],USD!$G:$G)</f>
        <v>0</v>
      </c>
      <c r="M18" s="449">
        <f>+Tabla4[[#This Row],[Valor Residual ARS]]*Tabla4[[#This Row],[% GARANTIZADO]]</f>
        <v>0</v>
      </c>
      <c r="N18" s="449">
        <f>+Tabla4[[#This Row],[Valor Residual USD]]*Tabla4[[#This Row],[% GARANTIZADO]]</f>
        <v>0</v>
      </c>
      <c r="O18" s="490" t="str">
        <f>+IF(Tabla4[[#This Row],[Valor Residual ARS]]&gt;0,CONCATENATE(Tabla4[[#This Row],[Tipo]],""),CONCATENATE(Tabla4[[#This Row],[Tipo]],"vencida"))</f>
        <v>ON Pyme CNV Garantizadavencida</v>
      </c>
      <c r="P18" s="490" t="str">
        <f>+IF(Tabla4[[#This Row],[Valor Residual USD]]&gt;0,CONCATENATE(Tabla4[[#This Row],[Tipo]],""),CONCATENATE(Tabla4[[#This Row],[Tipo]],"vencida"))</f>
        <v>ON Pyme CNV Garantizadavencida</v>
      </c>
    </row>
    <row r="19" spans="1:16" x14ac:dyDescent="0.25">
      <c r="A19" s="441" t="s">
        <v>76</v>
      </c>
      <c r="B19" s="441" t="s">
        <v>450</v>
      </c>
      <c r="C19" s="442" t="s">
        <v>77</v>
      </c>
      <c r="D19" s="443" t="s">
        <v>406</v>
      </c>
      <c r="E19" s="442" t="s">
        <v>17</v>
      </c>
      <c r="F19" s="442" t="s">
        <v>309</v>
      </c>
      <c r="G19" s="497">
        <v>1</v>
      </c>
      <c r="H19" s="448">
        <v>43354</v>
      </c>
      <c r="I19" s="448">
        <v>44450</v>
      </c>
      <c r="J19" s="449">
        <v>3000000</v>
      </c>
      <c r="K19" s="449">
        <f>+SUMIF(ARS!$D:$D,Tabla4[[#This Row],[Emision]],ARS!$G:$G)</f>
        <v>0</v>
      </c>
      <c r="L19" s="449">
        <f>+SUMIF(USD!$D:$D,Tabla4[[#This Row],[Emision]],USD!$G:$G)</f>
        <v>0</v>
      </c>
      <c r="M19" s="449">
        <f>+Tabla4[[#This Row],[Valor Residual ARS]]*Tabla4[[#This Row],[% GARANTIZADO]]</f>
        <v>0</v>
      </c>
      <c r="N19" s="449">
        <f>+Tabla4[[#This Row],[Valor Residual USD]]*Tabla4[[#This Row],[% GARANTIZADO]]</f>
        <v>0</v>
      </c>
      <c r="O19" s="490" t="str">
        <f>+IF(Tabla4[[#This Row],[Valor Residual ARS]]&gt;0,CONCATENATE(Tabla4[[#This Row],[Tipo]],""),CONCATENATE(Tabla4[[#This Row],[Tipo]],"vencida"))</f>
        <v>ON Pyme CNV Garantizadavencida</v>
      </c>
      <c r="P19" s="490" t="str">
        <f>+IF(Tabla4[[#This Row],[Valor Residual USD]]&gt;0,CONCATENATE(Tabla4[[#This Row],[Tipo]],""),CONCATENATE(Tabla4[[#This Row],[Tipo]],"vencida"))</f>
        <v>ON Pyme CNV Garantizadavencida</v>
      </c>
    </row>
    <row r="20" spans="1:16" x14ac:dyDescent="0.25">
      <c r="A20" s="441" t="s">
        <v>79</v>
      </c>
      <c r="B20" s="441" t="s">
        <v>451</v>
      </c>
      <c r="C20" s="442" t="s">
        <v>82</v>
      </c>
      <c r="D20" s="443" t="s">
        <v>406</v>
      </c>
      <c r="E20" s="442" t="s">
        <v>17</v>
      </c>
      <c r="F20" s="442" t="s">
        <v>309</v>
      </c>
      <c r="G20" s="497">
        <v>0.5</v>
      </c>
      <c r="H20" s="450">
        <v>43585</v>
      </c>
      <c r="I20" s="450">
        <v>44681</v>
      </c>
      <c r="J20" s="451">
        <v>30000000</v>
      </c>
      <c r="K20" s="451">
        <f>+SUMIF(ARS!$D:$D,Tabla4[[#This Row],[Emision]],ARS!$G:$G)</f>
        <v>0</v>
      </c>
      <c r="L20" s="451">
        <f>+SUMIF(USD!$D:$D,Tabla4[[#This Row],[Emision]],USD!$G:$G)</f>
        <v>0</v>
      </c>
      <c r="M20" s="451">
        <f>+Tabla4[[#This Row],[Valor Residual ARS]]*Tabla4[[#This Row],[% GARANTIZADO]]</f>
        <v>0</v>
      </c>
      <c r="N20" s="451">
        <f>+Tabla4[[#This Row],[Valor Residual USD]]*Tabla4[[#This Row],[% GARANTIZADO]]</f>
        <v>0</v>
      </c>
      <c r="O20" s="495" t="str">
        <f>+IF(Tabla4[[#This Row],[Valor Residual ARS]]&gt;0,CONCATENATE(Tabla4[[#This Row],[Tipo]],""),CONCATENATE(Tabla4[[#This Row],[Tipo]],"vencida"))</f>
        <v>ON Pyme CNV Garantizadavencida</v>
      </c>
      <c r="P20" s="495" t="str">
        <f>+IF(Tabla4[[#This Row],[Valor Residual USD]]&gt;0,CONCATENATE(Tabla4[[#This Row],[Tipo]],""),CONCATENATE(Tabla4[[#This Row],[Tipo]],"vencida"))</f>
        <v>ON Pyme CNV Garantizadavencida</v>
      </c>
    </row>
    <row r="21" spans="1:16" x14ac:dyDescent="0.25">
      <c r="A21" s="441" t="s">
        <v>79</v>
      </c>
      <c r="B21" s="441" t="s">
        <v>451</v>
      </c>
      <c r="C21" s="442" t="s">
        <v>82</v>
      </c>
      <c r="D21" s="443" t="s">
        <v>406</v>
      </c>
      <c r="E21" s="442" t="s">
        <v>17</v>
      </c>
      <c r="F21" s="442" t="s">
        <v>303</v>
      </c>
      <c r="G21" s="497">
        <v>0.5</v>
      </c>
      <c r="H21" s="448">
        <v>43585</v>
      </c>
      <c r="I21" s="448">
        <v>44681</v>
      </c>
      <c r="J21" s="449">
        <v>30000000</v>
      </c>
      <c r="K21" s="449">
        <f>+SUMIF(ARS!$D:$D,Tabla4[[#This Row],[Emision]],ARS!$G:$G)</f>
        <v>0</v>
      </c>
      <c r="L21" s="449">
        <f>+SUMIF(USD!$D:$D,Tabla4[[#This Row],[Emision]],USD!$G:$G)</f>
        <v>0</v>
      </c>
      <c r="M21" s="449">
        <f>+Tabla4[[#This Row],[Valor Residual ARS]]*Tabla4[[#This Row],[% GARANTIZADO]]</f>
        <v>0</v>
      </c>
      <c r="N21" s="449">
        <f>+Tabla4[[#This Row],[Valor Residual USD]]*Tabla4[[#This Row],[% GARANTIZADO]]</f>
        <v>0</v>
      </c>
      <c r="O21" s="490" t="str">
        <f>+IF(Tabla4[[#This Row],[Valor Residual ARS]]&gt;0,CONCATENATE(Tabla4[[#This Row],[Tipo]],""),CONCATENATE(Tabla4[[#This Row],[Tipo]],"vencida"))</f>
        <v>ON Pyme CNV Garantizadavencida</v>
      </c>
      <c r="P21" s="490" t="str">
        <f>+IF(Tabla4[[#This Row],[Valor Residual USD]]&gt;0,CONCATENATE(Tabla4[[#This Row],[Tipo]],""),CONCATENATE(Tabla4[[#This Row],[Tipo]],"vencida"))</f>
        <v>ON Pyme CNV Garantizadavencida</v>
      </c>
    </row>
    <row r="22" spans="1:16" x14ac:dyDescent="0.25">
      <c r="A22" s="441" t="s">
        <v>83</v>
      </c>
      <c r="B22" s="441" t="s">
        <v>452</v>
      </c>
      <c r="C22" s="442" t="s">
        <v>84</v>
      </c>
      <c r="D22" s="443" t="s">
        <v>406</v>
      </c>
      <c r="E22" s="442" t="s">
        <v>17</v>
      </c>
      <c r="F22" s="442" t="s">
        <v>309</v>
      </c>
      <c r="G22" s="497">
        <v>1</v>
      </c>
      <c r="H22" s="448">
        <v>43518</v>
      </c>
      <c r="I22" s="448">
        <v>44614</v>
      </c>
      <c r="J22" s="449">
        <v>15000000</v>
      </c>
      <c r="K22" s="449">
        <f>+SUMIF(ARS!$D:$D,Tabla4[[#This Row],[Emision]],ARS!$G:$G)</f>
        <v>0</v>
      </c>
      <c r="L22" s="449">
        <f>+SUMIF(USD!$D:$D,Tabla4[[#This Row],[Emision]],USD!$G:$G)</f>
        <v>0</v>
      </c>
      <c r="M22" s="449">
        <f>+Tabla4[[#This Row],[Valor Residual ARS]]*Tabla4[[#This Row],[% GARANTIZADO]]</f>
        <v>0</v>
      </c>
      <c r="N22" s="449">
        <f>+Tabla4[[#This Row],[Valor Residual USD]]*Tabla4[[#This Row],[% GARANTIZADO]]</f>
        <v>0</v>
      </c>
      <c r="O22" s="490" t="str">
        <f>+IF(Tabla4[[#This Row],[Valor Residual ARS]]&gt;0,CONCATENATE(Tabla4[[#This Row],[Tipo]],""),CONCATENATE(Tabla4[[#This Row],[Tipo]],"vencida"))</f>
        <v>ON Pyme CNV Garantizadavencida</v>
      </c>
      <c r="P22" s="490" t="str">
        <f>+IF(Tabla4[[#This Row],[Valor Residual USD]]&gt;0,CONCATENATE(Tabla4[[#This Row],[Tipo]],""),CONCATENATE(Tabla4[[#This Row],[Tipo]],"vencida"))</f>
        <v>ON Pyme CNV Garantizadavencida</v>
      </c>
    </row>
    <row r="23" spans="1:16" x14ac:dyDescent="0.25">
      <c r="A23" s="441" t="s">
        <v>97</v>
      </c>
      <c r="B23" s="441" t="s">
        <v>453</v>
      </c>
      <c r="C23" s="442" t="s">
        <v>96</v>
      </c>
      <c r="D23" s="443" t="s">
        <v>406</v>
      </c>
      <c r="E23" s="442" t="s">
        <v>17</v>
      </c>
      <c r="F23" s="442" t="s">
        <v>309</v>
      </c>
      <c r="G23" s="497">
        <v>1</v>
      </c>
      <c r="H23" s="448">
        <v>43412</v>
      </c>
      <c r="I23" s="448">
        <v>44508</v>
      </c>
      <c r="J23" s="449">
        <v>4000000</v>
      </c>
      <c r="K23" s="449">
        <f>+SUMIF(ARS!$D:$D,Tabla4[[#This Row],[Emision]],ARS!$G:$G)</f>
        <v>0</v>
      </c>
      <c r="L23" s="449">
        <f>+SUMIF(USD!$D:$D,Tabla4[[#This Row],[Emision]],USD!$G:$G)</f>
        <v>0</v>
      </c>
      <c r="M23" s="449">
        <f>+Tabla4[[#This Row],[Valor Residual ARS]]*Tabla4[[#This Row],[% GARANTIZADO]]</f>
        <v>0</v>
      </c>
      <c r="N23" s="449">
        <f>+Tabla4[[#This Row],[Valor Residual USD]]*Tabla4[[#This Row],[% GARANTIZADO]]</f>
        <v>0</v>
      </c>
      <c r="O23" s="490" t="str">
        <f>+IF(Tabla4[[#This Row],[Valor Residual ARS]]&gt;0,CONCATENATE(Tabla4[[#This Row],[Tipo]],""),CONCATENATE(Tabla4[[#This Row],[Tipo]],"vencida"))</f>
        <v>ON Pyme CNV Garantizadavencida</v>
      </c>
      <c r="P23" s="490" t="str">
        <f>+IF(Tabla4[[#This Row],[Valor Residual USD]]&gt;0,CONCATENATE(Tabla4[[#This Row],[Tipo]],""),CONCATENATE(Tabla4[[#This Row],[Tipo]],"vencida"))</f>
        <v>ON Pyme CNV Garantizadavencida</v>
      </c>
    </row>
    <row r="24" spans="1:16" x14ac:dyDescent="0.25">
      <c r="A24" s="441" t="s">
        <v>86</v>
      </c>
      <c r="B24" s="441" t="s">
        <v>454</v>
      </c>
      <c r="C24" s="442" t="s">
        <v>85</v>
      </c>
      <c r="D24" s="443" t="s">
        <v>406</v>
      </c>
      <c r="E24" s="442" t="s">
        <v>17</v>
      </c>
      <c r="F24" s="444" t="s">
        <v>309</v>
      </c>
      <c r="G24" s="497">
        <v>0.1923</v>
      </c>
      <c r="H24" s="448">
        <v>43685</v>
      </c>
      <c r="I24" s="448">
        <v>44416</v>
      </c>
      <c r="J24" s="449">
        <v>21600000</v>
      </c>
      <c r="K24" s="449">
        <f>+SUMIF(ARS!$D:$D,Tabla4[[#This Row],[Emision]],ARS!$G:$G)</f>
        <v>0</v>
      </c>
      <c r="L24" s="449">
        <f>+SUMIF(USD!$D:$D,Tabla4[[#This Row],[Emision]],USD!$G:$G)</f>
        <v>0</v>
      </c>
      <c r="M24" s="449">
        <f>+Tabla4[[#This Row],[Valor Residual ARS]]*Tabla4[[#This Row],[% GARANTIZADO]]</f>
        <v>0</v>
      </c>
      <c r="N24" s="449">
        <f>+Tabla4[[#This Row],[Valor Residual USD]]*Tabla4[[#This Row],[% GARANTIZADO]]</f>
        <v>0</v>
      </c>
      <c r="O24" s="490" t="str">
        <f>+IF(Tabla4[[#This Row],[Valor Residual ARS]]&gt;0,CONCATENATE(Tabla4[[#This Row],[Tipo]],""),CONCATENATE(Tabla4[[#This Row],[Tipo]],"vencida"))</f>
        <v>ON Pyme CNV Garantizadavencida</v>
      </c>
      <c r="P24" s="490" t="str">
        <f>+IF(Tabla4[[#This Row],[Valor Residual USD]]&gt;0,CONCATENATE(Tabla4[[#This Row],[Tipo]],""),CONCATENATE(Tabla4[[#This Row],[Tipo]],"vencida"))</f>
        <v>ON Pyme CNV Garantizadavencida</v>
      </c>
    </row>
    <row r="25" spans="1:16" x14ac:dyDescent="0.25">
      <c r="A25" s="441" t="s">
        <v>86</v>
      </c>
      <c r="B25" s="441" t="s">
        <v>454</v>
      </c>
      <c r="C25" s="442" t="s">
        <v>85</v>
      </c>
      <c r="D25" s="443" t="s">
        <v>406</v>
      </c>
      <c r="E25" s="442" t="s">
        <v>17</v>
      </c>
      <c r="F25" s="442" t="s">
        <v>308</v>
      </c>
      <c r="G25" s="497">
        <v>0.76919999999999999</v>
      </c>
      <c r="H25" s="448">
        <v>43685</v>
      </c>
      <c r="I25" s="448">
        <v>44416</v>
      </c>
      <c r="J25" s="449">
        <v>21600000</v>
      </c>
      <c r="K25" s="449">
        <f>+SUMIF(ARS!$D:$D,Tabla4[[#This Row],[Emision]],ARS!$G:$G)</f>
        <v>0</v>
      </c>
      <c r="L25" s="449">
        <f>+SUMIF(USD!$D:$D,Tabla4[[#This Row],[Emision]],USD!$G:$G)</f>
        <v>0</v>
      </c>
      <c r="M25" s="449">
        <f>+Tabla4[[#This Row],[Valor Residual ARS]]*Tabla4[[#This Row],[% GARANTIZADO]]</f>
        <v>0</v>
      </c>
      <c r="N25" s="449">
        <f>+Tabla4[[#This Row],[Valor Residual USD]]*Tabla4[[#This Row],[% GARANTIZADO]]</f>
        <v>0</v>
      </c>
      <c r="O25" s="490" t="str">
        <f>+IF(Tabla4[[#This Row],[Valor Residual ARS]]&gt;0,CONCATENATE(Tabla4[[#This Row],[Tipo]],""),CONCATENATE(Tabla4[[#This Row],[Tipo]],"vencida"))</f>
        <v>ON Pyme CNV Garantizadavencida</v>
      </c>
      <c r="P25" s="490" t="str">
        <f>+IF(Tabla4[[#This Row],[Valor Residual USD]]&gt;0,CONCATENATE(Tabla4[[#This Row],[Tipo]],""),CONCATENATE(Tabla4[[#This Row],[Tipo]],"vencida"))</f>
        <v>ON Pyme CNV Garantizadavencida</v>
      </c>
    </row>
    <row r="26" spans="1:16" x14ac:dyDescent="0.25">
      <c r="A26" s="441" t="s">
        <v>86</v>
      </c>
      <c r="B26" s="441" t="s">
        <v>454</v>
      </c>
      <c r="C26" s="442" t="s">
        <v>85</v>
      </c>
      <c r="D26" s="443" t="s">
        <v>406</v>
      </c>
      <c r="E26" s="442" t="s">
        <v>17</v>
      </c>
      <c r="F26" s="442" t="s">
        <v>325</v>
      </c>
      <c r="G26" s="497">
        <v>3.85E-2</v>
      </c>
      <c r="H26" s="448">
        <v>43685</v>
      </c>
      <c r="I26" s="448">
        <v>44416</v>
      </c>
      <c r="J26" s="449">
        <v>21600000</v>
      </c>
      <c r="K26" s="449">
        <f>+SUMIF(ARS!$D:$D,Tabla4[[#This Row],[Emision]],ARS!$G:$G)</f>
        <v>0</v>
      </c>
      <c r="L26" s="449">
        <f>+SUMIF(USD!$D:$D,Tabla4[[#This Row],[Emision]],USD!$G:$G)</f>
        <v>0</v>
      </c>
      <c r="M26" s="449">
        <f>+Tabla4[[#This Row],[Valor Residual ARS]]*Tabla4[[#This Row],[% GARANTIZADO]]</f>
        <v>0</v>
      </c>
      <c r="N26" s="449">
        <f>+Tabla4[[#This Row],[Valor Residual USD]]*Tabla4[[#This Row],[% GARANTIZADO]]</f>
        <v>0</v>
      </c>
      <c r="O26" s="490" t="str">
        <f>+IF(Tabla4[[#This Row],[Valor Residual ARS]]&gt;0,CONCATENATE(Tabla4[[#This Row],[Tipo]],""),CONCATENATE(Tabla4[[#This Row],[Tipo]],"vencida"))</f>
        <v>ON Pyme CNV Garantizadavencida</v>
      </c>
      <c r="P26" s="490" t="str">
        <f>+IF(Tabla4[[#This Row],[Valor Residual USD]]&gt;0,CONCATENATE(Tabla4[[#This Row],[Tipo]],""),CONCATENATE(Tabla4[[#This Row],[Tipo]],"vencida"))</f>
        <v>ON Pyme CNV Garantizadavencida</v>
      </c>
    </row>
    <row r="27" spans="1:16" x14ac:dyDescent="0.25">
      <c r="A27" s="441" t="s">
        <v>98</v>
      </c>
      <c r="B27" s="441" t="s">
        <v>455</v>
      </c>
      <c r="C27" s="442" t="s">
        <v>99</v>
      </c>
      <c r="D27" s="443" t="s">
        <v>406</v>
      </c>
      <c r="E27" s="442" t="s">
        <v>17</v>
      </c>
      <c r="F27" s="442" t="s">
        <v>319</v>
      </c>
      <c r="G27" s="497">
        <v>0.2</v>
      </c>
      <c r="H27" s="448">
        <v>43206</v>
      </c>
      <c r="I27" s="448">
        <v>43937</v>
      </c>
      <c r="J27" s="449">
        <v>5000000</v>
      </c>
      <c r="K27" s="449">
        <f>+SUMIF(ARS!$D:$D,Tabla4[[#This Row],[Emision]],ARS!$G:$G)</f>
        <v>0</v>
      </c>
      <c r="L27" s="449">
        <f>+SUMIF(USD!$D:$D,Tabla4[[#This Row],[Emision]],USD!$G:$G)</f>
        <v>0</v>
      </c>
      <c r="M27" s="449">
        <f>+Tabla4[[#This Row],[Valor Residual ARS]]*Tabla4[[#This Row],[% GARANTIZADO]]</f>
        <v>0</v>
      </c>
      <c r="N27" s="449">
        <f>+Tabla4[[#This Row],[Valor Residual USD]]*Tabla4[[#This Row],[% GARANTIZADO]]</f>
        <v>0</v>
      </c>
      <c r="O27" s="490" t="str">
        <f>+IF(Tabla4[[#This Row],[Valor Residual ARS]]&gt;0,CONCATENATE(Tabla4[[#This Row],[Tipo]],""),CONCATENATE(Tabla4[[#This Row],[Tipo]],"vencida"))</f>
        <v>ON Pyme CNV Garantizadavencida</v>
      </c>
      <c r="P27" s="490" t="str">
        <f>+IF(Tabla4[[#This Row],[Valor Residual USD]]&gt;0,CONCATENATE(Tabla4[[#This Row],[Tipo]],""),CONCATENATE(Tabla4[[#This Row],[Tipo]],"vencida"))</f>
        <v>ON Pyme CNV Garantizadavencida</v>
      </c>
    </row>
    <row r="28" spans="1:16" x14ac:dyDescent="0.25">
      <c r="A28" s="441" t="s">
        <v>98</v>
      </c>
      <c r="B28" s="441" t="s">
        <v>455</v>
      </c>
      <c r="C28" s="442" t="s">
        <v>99</v>
      </c>
      <c r="D28" s="443" t="s">
        <v>406</v>
      </c>
      <c r="E28" s="442" t="s">
        <v>17</v>
      </c>
      <c r="F28" s="442" t="s">
        <v>313</v>
      </c>
      <c r="G28" s="497">
        <v>0.8</v>
      </c>
      <c r="H28" s="448">
        <v>43206</v>
      </c>
      <c r="I28" s="448">
        <v>43937</v>
      </c>
      <c r="J28" s="449">
        <v>5000000</v>
      </c>
      <c r="K28" s="449">
        <f>+SUMIF(ARS!$D:$D,Tabla4[[#This Row],[Emision]],ARS!$G:$G)</f>
        <v>0</v>
      </c>
      <c r="L28" s="449">
        <f>+SUMIF(USD!$D:$D,Tabla4[[#This Row],[Emision]],USD!$G:$G)</f>
        <v>0</v>
      </c>
      <c r="M28" s="449">
        <f>+Tabla4[[#This Row],[Valor Residual ARS]]*Tabla4[[#This Row],[% GARANTIZADO]]</f>
        <v>0</v>
      </c>
      <c r="N28" s="449">
        <f>+Tabla4[[#This Row],[Valor Residual USD]]*Tabla4[[#This Row],[% GARANTIZADO]]</f>
        <v>0</v>
      </c>
      <c r="O28" s="490" t="str">
        <f>+IF(Tabla4[[#This Row],[Valor Residual ARS]]&gt;0,CONCATENATE(Tabla4[[#This Row],[Tipo]],""),CONCATENATE(Tabla4[[#This Row],[Tipo]],"vencida"))</f>
        <v>ON Pyme CNV Garantizadavencida</v>
      </c>
      <c r="P28" s="490" t="str">
        <f>+IF(Tabla4[[#This Row],[Valor Residual USD]]&gt;0,CONCATENATE(Tabla4[[#This Row],[Tipo]],""),CONCATENATE(Tabla4[[#This Row],[Tipo]],"vencida"))</f>
        <v>ON Pyme CNV Garantizadavencida</v>
      </c>
    </row>
    <row r="29" spans="1:16" x14ac:dyDescent="0.25">
      <c r="A29" s="441" t="s">
        <v>102</v>
      </c>
      <c r="B29" s="441" t="s">
        <v>456</v>
      </c>
      <c r="C29" s="442" t="s">
        <v>101</v>
      </c>
      <c r="D29" s="443" t="s">
        <v>406</v>
      </c>
      <c r="E29" s="442" t="s">
        <v>17</v>
      </c>
      <c r="F29" s="442" t="s">
        <v>328</v>
      </c>
      <c r="G29" s="497">
        <v>1</v>
      </c>
      <c r="H29" s="448">
        <v>43553</v>
      </c>
      <c r="I29" s="448">
        <v>44011</v>
      </c>
      <c r="J29" s="449">
        <v>1000000</v>
      </c>
      <c r="K29" s="449">
        <f>+SUMIF(ARS!$D:$D,Tabla4[[#This Row],[Emision]],ARS!$G:$G)</f>
        <v>0</v>
      </c>
      <c r="L29" s="449">
        <f>+SUMIF(USD!$D:$D,Tabla4[[#This Row],[Emision]],USD!$G:$G)</f>
        <v>0</v>
      </c>
      <c r="M29" s="449">
        <f>+Tabla4[[#This Row],[Valor Residual ARS]]*Tabla4[[#This Row],[% GARANTIZADO]]</f>
        <v>0</v>
      </c>
      <c r="N29" s="449">
        <f>+Tabla4[[#This Row],[Valor Residual USD]]*Tabla4[[#This Row],[% GARANTIZADO]]</f>
        <v>0</v>
      </c>
      <c r="O29" s="490" t="str">
        <f>+IF(Tabla4[[#This Row],[Valor Residual ARS]]&gt;0,CONCATENATE(Tabla4[[#This Row],[Tipo]],""),CONCATENATE(Tabla4[[#This Row],[Tipo]],"vencida"))</f>
        <v>ON Pyme CNV Garantizadavencida</v>
      </c>
      <c r="P29" s="490" t="str">
        <f>+IF(Tabla4[[#This Row],[Valor Residual USD]]&gt;0,CONCATENATE(Tabla4[[#This Row],[Tipo]],""),CONCATENATE(Tabla4[[#This Row],[Tipo]],"vencida"))</f>
        <v>ON Pyme CNV Garantizadavencida</v>
      </c>
    </row>
    <row r="30" spans="1:16" x14ac:dyDescent="0.25">
      <c r="A30" s="441" t="s">
        <v>104</v>
      </c>
      <c r="B30" s="441" t="s">
        <v>457</v>
      </c>
      <c r="C30" s="442" t="s">
        <v>103</v>
      </c>
      <c r="D30" s="443" t="s">
        <v>406</v>
      </c>
      <c r="E30" s="442" t="s">
        <v>17</v>
      </c>
      <c r="F30" s="442" t="s">
        <v>289</v>
      </c>
      <c r="G30" s="497">
        <v>1</v>
      </c>
      <c r="H30" s="448">
        <v>43279</v>
      </c>
      <c r="I30" s="448">
        <v>44375</v>
      </c>
      <c r="J30" s="449">
        <v>5000000</v>
      </c>
      <c r="K30" s="449">
        <f>+SUMIF(ARS!$D:$D,Tabla4[[#This Row],[Emision]],ARS!$G:$G)</f>
        <v>0</v>
      </c>
      <c r="L30" s="449">
        <f>+SUMIF(USD!$D:$D,Tabla4[[#This Row],[Emision]],USD!$G:$G)</f>
        <v>0</v>
      </c>
      <c r="M30" s="449">
        <f>+Tabla4[[#This Row],[Valor Residual ARS]]*Tabla4[[#This Row],[% GARANTIZADO]]</f>
        <v>0</v>
      </c>
      <c r="N30" s="449">
        <f>+Tabla4[[#This Row],[Valor Residual USD]]*Tabla4[[#This Row],[% GARANTIZADO]]</f>
        <v>0</v>
      </c>
      <c r="O30" s="490" t="str">
        <f>+IF(Tabla4[[#This Row],[Valor Residual ARS]]&gt;0,CONCATENATE(Tabla4[[#This Row],[Tipo]],""),CONCATENATE(Tabla4[[#This Row],[Tipo]],"vencida"))</f>
        <v>ON Pyme CNV Garantizadavencida</v>
      </c>
      <c r="P30" s="490" t="str">
        <f>+IF(Tabla4[[#This Row],[Valor Residual USD]]&gt;0,CONCATENATE(Tabla4[[#This Row],[Tipo]],""),CONCATENATE(Tabla4[[#This Row],[Tipo]],"vencida"))</f>
        <v>ON Pyme CNV Garantizadavencida</v>
      </c>
    </row>
    <row r="31" spans="1:16" x14ac:dyDescent="0.25">
      <c r="A31" s="441" t="s">
        <v>391</v>
      </c>
      <c r="B31" s="441" t="s">
        <v>428</v>
      </c>
      <c r="C31" s="442" t="s">
        <v>390</v>
      </c>
      <c r="D31" s="443" t="s">
        <v>406</v>
      </c>
      <c r="E31" s="442" t="s">
        <v>17</v>
      </c>
      <c r="F31" s="442" t="s">
        <v>311</v>
      </c>
      <c r="G31" s="497">
        <v>0.08</v>
      </c>
      <c r="H31" s="448">
        <v>44487</v>
      </c>
      <c r="I31" s="448">
        <v>45217</v>
      </c>
      <c r="J31" s="449">
        <v>120000000</v>
      </c>
      <c r="K31" s="449">
        <f>+SUMIF(ARS!$D:$D,Tabla4[[#This Row],[Emision]],ARS!$G:$G)</f>
        <v>0</v>
      </c>
      <c r="L31" s="449">
        <f>+SUMIF(USD!$D:$D,Tabla4[[#This Row],[Emision]],USD!$G:$G)</f>
        <v>0</v>
      </c>
      <c r="M31" s="449">
        <f>+Tabla4[[#This Row],[Valor Residual ARS]]*Tabla4[[#This Row],[% GARANTIZADO]]</f>
        <v>0</v>
      </c>
      <c r="N31" s="449">
        <f>+Tabla4[[#This Row],[Valor Residual USD]]*Tabla4[[#This Row],[% GARANTIZADO]]</f>
        <v>0</v>
      </c>
      <c r="O31" s="490" t="str">
        <f>+IF(Tabla4[[#This Row],[Valor Residual ARS]]&gt;0,CONCATENATE(Tabla4[[#This Row],[Tipo]],""),CONCATENATE(Tabla4[[#This Row],[Tipo]],"vencida"))</f>
        <v>ON Pyme CNV Garantizadavencida</v>
      </c>
      <c r="P31" s="490" t="str">
        <f>+IF(Tabla4[[#This Row],[Valor Residual USD]]&gt;0,CONCATENATE(Tabla4[[#This Row],[Tipo]],""),CONCATENATE(Tabla4[[#This Row],[Tipo]],"vencida"))</f>
        <v>ON Pyme CNV Garantizadavencida</v>
      </c>
    </row>
    <row r="32" spans="1:16" x14ac:dyDescent="0.25">
      <c r="A32" s="441" t="s">
        <v>391</v>
      </c>
      <c r="B32" s="441" t="s">
        <v>428</v>
      </c>
      <c r="C32" s="442" t="s">
        <v>390</v>
      </c>
      <c r="D32" s="443" t="s">
        <v>406</v>
      </c>
      <c r="E32" s="442" t="s">
        <v>17</v>
      </c>
      <c r="F32" s="442" t="s">
        <v>310</v>
      </c>
      <c r="G32" s="497">
        <v>0.13</v>
      </c>
      <c r="H32" s="448">
        <v>44487</v>
      </c>
      <c r="I32" s="448">
        <v>45217</v>
      </c>
      <c r="J32" s="449">
        <v>120000000</v>
      </c>
      <c r="K32" s="449">
        <f>+SUMIF(ARS!$D:$D,Tabla4[[#This Row],[Emision]],ARS!$G:$G)</f>
        <v>0</v>
      </c>
      <c r="L32" s="449">
        <f>+SUMIF(USD!$D:$D,Tabla4[[#This Row],[Emision]],USD!$G:$G)</f>
        <v>0</v>
      </c>
      <c r="M32" s="449">
        <f>+Tabla4[[#This Row],[Valor Residual ARS]]*Tabla4[[#This Row],[% GARANTIZADO]]</f>
        <v>0</v>
      </c>
      <c r="N32" s="449">
        <f>+Tabla4[[#This Row],[Valor Residual USD]]*Tabla4[[#This Row],[% GARANTIZADO]]</f>
        <v>0</v>
      </c>
      <c r="O32" s="490" t="str">
        <f>+IF(Tabla4[[#This Row],[Valor Residual ARS]]&gt;0,CONCATENATE(Tabla4[[#This Row],[Tipo]],""),CONCATENATE(Tabla4[[#This Row],[Tipo]],"vencida"))</f>
        <v>ON Pyme CNV Garantizadavencida</v>
      </c>
      <c r="P32" s="490" t="str">
        <f>+IF(Tabla4[[#This Row],[Valor Residual USD]]&gt;0,CONCATENATE(Tabla4[[#This Row],[Tipo]],""),CONCATENATE(Tabla4[[#This Row],[Tipo]],"vencida"))</f>
        <v>ON Pyme CNV Garantizadavencida</v>
      </c>
    </row>
    <row r="33" spans="1:16" x14ac:dyDescent="0.25">
      <c r="A33" s="441" t="s">
        <v>391</v>
      </c>
      <c r="B33" s="441" t="s">
        <v>428</v>
      </c>
      <c r="C33" s="442" t="s">
        <v>390</v>
      </c>
      <c r="D33" s="443" t="s">
        <v>406</v>
      </c>
      <c r="E33" s="442" t="s">
        <v>17</v>
      </c>
      <c r="F33" s="442" t="s">
        <v>318</v>
      </c>
      <c r="G33" s="497">
        <v>0.15</v>
      </c>
      <c r="H33" s="448">
        <v>44487</v>
      </c>
      <c r="I33" s="448">
        <v>45217</v>
      </c>
      <c r="J33" s="449">
        <v>120000000</v>
      </c>
      <c r="K33" s="449">
        <f>+SUMIF(ARS!$D:$D,Tabla4[[#This Row],[Emision]],ARS!$G:$G)</f>
        <v>0</v>
      </c>
      <c r="L33" s="449">
        <f>+SUMIF(USD!$D:$D,Tabla4[[#This Row],[Emision]],USD!$G:$G)</f>
        <v>0</v>
      </c>
      <c r="M33" s="449">
        <f>+Tabla4[[#This Row],[Valor Residual ARS]]*Tabla4[[#This Row],[% GARANTIZADO]]</f>
        <v>0</v>
      </c>
      <c r="N33" s="449">
        <f>+Tabla4[[#This Row],[Valor Residual USD]]*Tabla4[[#This Row],[% GARANTIZADO]]</f>
        <v>0</v>
      </c>
      <c r="O33" s="490" t="str">
        <f>+IF(Tabla4[[#This Row],[Valor Residual ARS]]&gt;0,CONCATENATE(Tabla4[[#This Row],[Tipo]],""),CONCATENATE(Tabla4[[#This Row],[Tipo]],"vencida"))</f>
        <v>ON Pyme CNV Garantizadavencida</v>
      </c>
      <c r="P33" s="490" t="str">
        <f>+IF(Tabla4[[#This Row],[Valor Residual USD]]&gt;0,CONCATENATE(Tabla4[[#This Row],[Tipo]],""),CONCATENATE(Tabla4[[#This Row],[Tipo]],"vencida"))</f>
        <v>ON Pyme CNV Garantizadavencida</v>
      </c>
    </row>
    <row r="34" spans="1:16" x14ac:dyDescent="0.25">
      <c r="A34" s="441" t="s">
        <v>391</v>
      </c>
      <c r="B34" s="441" t="s">
        <v>428</v>
      </c>
      <c r="C34" s="442" t="s">
        <v>390</v>
      </c>
      <c r="D34" s="443" t="s">
        <v>406</v>
      </c>
      <c r="E34" s="442" t="s">
        <v>17</v>
      </c>
      <c r="F34" s="442" t="s">
        <v>316</v>
      </c>
      <c r="G34" s="497">
        <v>0.16200000000000001</v>
      </c>
      <c r="H34" s="448">
        <v>44487</v>
      </c>
      <c r="I34" s="448">
        <v>45217</v>
      </c>
      <c r="J34" s="449">
        <v>120000000</v>
      </c>
      <c r="K34" s="449">
        <f>+SUMIF(ARS!$D:$D,Tabla4[[#This Row],[Emision]],ARS!$G:$G)</f>
        <v>0</v>
      </c>
      <c r="L34" s="449">
        <f>+SUMIF(USD!$D:$D,Tabla4[[#This Row],[Emision]],USD!$G:$G)</f>
        <v>0</v>
      </c>
      <c r="M34" s="449">
        <f>+Tabla4[[#This Row],[Valor Residual ARS]]*Tabla4[[#This Row],[% GARANTIZADO]]</f>
        <v>0</v>
      </c>
      <c r="N34" s="449">
        <f>+Tabla4[[#This Row],[Valor Residual USD]]*Tabla4[[#This Row],[% GARANTIZADO]]</f>
        <v>0</v>
      </c>
      <c r="O34" s="490" t="str">
        <f>+IF(Tabla4[[#This Row],[Valor Residual ARS]]&gt;0,CONCATENATE(Tabla4[[#This Row],[Tipo]],""),CONCATENATE(Tabla4[[#This Row],[Tipo]],"vencida"))</f>
        <v>ON Pyme CNV Garantizadavencida</v>
      </c>
      <c r="P34" s="490" t="str">
        <f>+IF(Tabla4[[#This Row],[Valor Residual USD]]&gt;0,CONCATENATE(Tabla4[[#This Row],[Tipo]],""),CONCATENATE(Tabla4[[#This Row],[Tipo]],"vencida"))</f>
        <v>ON Pyme CNV Garantizadavencida</v>
      </c>
    </row>
    <row r="35" spans="1:16" x14ac:dyDescent="0.25">
      <c r="A35" s="441" t="s">
        <v>391</v>
      </c>
      <c r="B35" s="441" t="s">
        <v>428</v>
      </c>
      <c r="C35" s="442" t="s">
        <v>390</v>
      </c>
      <c r="D35" s="443" t="s">
        <v>406</v>
      </c>
      <c r="E35" s="442" t="s">
        <v>17</v>
      </c>
      <c r="F35" s="444" t="s">
        <v>308</v>
      </c>
      <c r="G35" s="497">
        <v>0.17</v>
      </c>
      <c r="H35" s="448">
        <v>44487</v>
      </c>
      <c r="I35" s="448">
        <v>45217</v>
      </c>
      <c r="J35" s="449">
        <v>120000000</v>
      </c>
      <c r="K35" s="449">
        <f>+SUMIF(ARS!$D:$D,Tabla4[[#This Row],[Emision]],ARS!$G:$G)</f>
        <v>0</v>
      </c>
      <c r="L35" s="449">
        <f>+SUMIF(USD!$D:$D,Tabla4[[#This Row],[Emision]],USD!$G:$G)</f>
        <v>0</v>
      </c>
      <c r="M35" s="449">
        <f>+Tabla4[[#This Row],[Valor Residual ARS]]*Tabla4[[#This Row],[% GARANTIZADO]]</f>
        <v>0</v>
      </c>
      <c r="N35" s="449">
        <f>+Tabla4[[#This Row],[Valor Residual USD]]*Tabla4[[#This Row],[% GARANTIZADO]]</f>
        <v>0</v>
      </c>
      <c r="O35" s="490" t="str">
        <f>+IF(Tabla4[[#This Row],[Valor Residual ARS]]&gt;0,CONCATENATE(Tabla4[[#This Row],[Tipo]],""),CONCATENATE(Tabla4[[#This Row],[Tipo]],"vencida"))</f>
        <v>ON Pyme CNV Garantizadavencida</v>
      </c>
      <c r="P35" s="490" t="str">
        <f>+IF(Tabla4[[#This Row],[Valor Residual USD]]&gt;0,CONCATENATE(Tabla4[[#This Row],[Tipo]],""),CONCATENATE(Tabla4[[#This Row],[Tipo]],"vencida"))</f>
        <v>ON Pyme CNV Garantizadavencida</v>
      </c>
    </row>
    <row r="36" spans="1:16" x14ac:dyDescent="0.25">
      <c r="A36" s="441" t="s">
        <v>391</v>
      </c>
      <c r="B36" s="441" t="s">
        <v>428</v>
      </c>
      <c r="C36" s="442" t="s">
        <v>390</v>
      </c>
      <c r="D36" s="443" t="s">
        <v>406</v>
      </c>
      <c r="E36" s="442" t="s">
        <v>17</v>
      </c>
      <c r="F36" s="442" t="s">
        <v>301</v>
      </c>
      <c r="G36" s="497">
        <v>0.308</v>
      </c>
      <c r="H36" s="448">
        <v>44487</v>
      </c>
      <c r="I36" s="448">
        <v>45217</v>
      </c>
      <c r="J36" s="449">
        <v>120000000</v>
      </c>
      <c r="K36" s="449">
        <f>+SUMIF(ARS!$D:$D,Tabla4[[#This Row],[Emision]],ARS!$G:$G)</f>
        <v>0</v>
      </c>
      <c r="L36" s="449">
        <f>+SUMIF(USD!$D:$D,Tabla4[[#This Row],[Emision]],USD!$G:$G)</f>
        <v>0</v>
      </c>
      <c r="M36" s="449">
        <f>+Tabla4[[#This Row],[Valor Residual ARS]]*Tabla4[[#This Row],[% GARANTIZADO]]</f>
        <v>0</v>
      </c>
      <c r="N36" s="449">
        <f>+Tabla4[[#This Row],[Valor Residual USD]]*Tabla4[[#This Row],[% GARANTIZADO]]</f>
        <v>0</v>
      </c>
      <c r="O36" s="490" t="str">
        <f>+IF(Tabla4[[#This Row],[Valor Residual ARS]]&gt;0,CONCATENATE(Tabla4[[#This Row],[Tipo]],""),CONCATENATE(Tabla4[[#This Row],[Tipo]],"vencida"))</f>
        <v>ON Pyme CNV Garantizadavencida</v>
      </c>
      <c r="P36" s="490" t="str">
        <f>+IF(Tabla4[[#This Row],[Valor Residual USD]]&gt;0,CONCATENATE(Tabla4[[#This Row],[Tipo]],""),CONCATENATE(Tabla4[[#This Row],[Tipo]],"vencida"))</f>
        <v>ON Pyme CNV Garantizadavencida</v>
      </c>
    </row>
    <row r="37" spans="1:16" x14ac:dyDescent="0.25">
      <c r="A37" s="441" t="s">
        <v>106</v>
      </c>
      <c r="B37" s="441" t="s">
        <v>458</v>
      </c>
      <c r="C37" s="442" t="s">
        <v>105</v>
      </c>
      <c r="D37" s="443" t="s">
        <v>406</v>
      </c>
      <c r="E37" s="442" t="s">
        <v>17</v>
      </c>
      <c r="F37" s="442" t="s">
        <v>325</v>
      </c>
      <c r="G37" s="497">
        <v>1</v>
      </c>
      <c r="H37" s="448">
        <v>43488</v>
      </c>
      <c r="I37" s="448">
        <v>44584</v>
      </c>
      <c r="J37" s="449">
        <v>4000000</v>
      </c>
      <c r="K37" s="449">
        <f>+SUMIF(ARS!$D:$D,Tabla4[[#This Row],[Emision]],ARS!$G:$G)</f>
        <v>0</v>
      </c>
      <c r="L37" s="449">
        <f>+SUMIF(USD!$D:$D,Tabla4[[#This Row],[Emision]],USD!$G:$G)</f>
        <v>0</v>
      </c>
      <c r="M37" s="449">
        <f>+Tabla4[[#This Row],[Valor Residual ARS]]*Tabla4[[#This Row],[% GARANTIZADO]]</f>
        <v>0</v>
      </c>
      <c r="N37" s="449">
        <f>+Tabla4[[#This Row],[Valor Residual USD]]*Tabla4[[#This Row],[% GARANTIZADO]]</f>
        <v>0</v>
      </c>
      <c r="O37" s="490" t="str">
        <f>+IF(Tabla4[[#This Row],[Valor Residual ARS]]&gt;0,CONCATENATE(Tabla4[[#This Row],[Tipo]],""),CONCATENATE(Tabla4[[#This Row],[Tipo]],"vencida"))</f>
        <v>ON Pyme CNV Garantizadavencida</v>
      </c>
      <c r="P37" s="490" t="str">
        <f>+IF(Tabla4[[#This Row],[Valor Residual USD]]&gt;0,CONCATENATE(Tabla4[[#This Row],[Tipo]],""),CONCATENATE(Tabla4[[#This Row],[Tipo]],"vencida"))</f>
        <v>ON Pyme CNV Garantizadavencida</v>
      </c>
    </row>
    <row r="38" spans="1:16" x14ac:dyDescent="0.25">
      <c r="A38" s="441" t="s">
        <v>359</v>
      </c>
      <c r="B38" s="441" t="s">
        <v>429</v>
      </c>
      <c r="C38" s="442" t="s">
        <v>400</v>
      </c>
      <c r="D38" s="443" t="s">
        <v>406</v>
      </c>
      <c r="E38" s="442" t="s">
        <v>17</v>
      </c>
      <c r="F38" s="442" t="s">
        <v>309</v>
      </c>
      <c r="G38" s="497">
        <v>1</v>
      </c>
      <c r="H38" s="448">
        <v>44582</v>
      </c>
      <c r="I38" s="448">
        <v>45678</v>
      </c>
      <c r="J38" s="449">
        <v>25000000</v>
      </c>
      <c r="K38" s="449">
        <f>+SUMIF(ARS!$D:$D,Tabla4[[#This Row],[Emision]],ARS!$G:$G)</f>
        <v>0</v>
      </c>
      <c r="L38" s="449">
        <f>+SUMIF(USD!$D:$D,Tabla4[[#This Row],[Emision]],USD!$G:$G)</f>
        <v>0</v>
      </c>
      <c r="M38" s="449">
        <f>+Tabla4[[#This Row],[Valor Residual ARS]]*Tabla4[[#This Row],[% GARANTIZADO]]</f>
        <v>0</v>
      </c>
      <c r="N38" s="449">
        <f>+Tabla4[[#This Row],[Valor Residual USD]]*Tabla4[[#This Row],[% GARANTIZADO]]</f>
        <v>0</v>
      </c>
      <c r="O38" s="490" t="str">
        <f>+IF(Tabla4[[#This Row],[Valor Residual ARS]]&gt;0,CONCATENATE(Tabla4[[#This Row],[Tipo]],""),CONCATENATE(Tabla4[[#This Row],[Tipo]],"vencida"))</f>
        <v>ON Pyme CNV Garantizadavencida</v>
      </c>
      <c r="P38" s="490" t="str">
        <f>+IF(Tabla4[[#This Row],[Valor Residual USD]]&gt;0,CONCATENATE(Tabla4[[#This Row],[Tipo]],""),CONCATENATE(Tabla4[[#This Row],[Tipo]],"vencida"))</f>
        <v>ON Pyme CNV Garantizadavencida</v>
      </c>
    </row>
    <row r="39" spans="1:16" x14ac:dyDescent="0.25">
      <c r="A39" s="441" t="s">
        <v>510</v>
      </c>
      <c r="B39" s="441" t="s">
        <v>511</v>
      </c>
      <c r="C39" s="442" t="s">
        <v>373</v>
      </c>
      <c r="D39" s="443" t="s">
        <v>406</v>
      </c>
      <c r="E39" s="442" t="s">
        <v>17</v>
      </c>
      <c r="F39" s="442" t="s">
        <v>309</v>
      </c>
      <c r="G39" s="497">
        <v>1</v>
      </c>
      <c r="H39" s="448">
        <v>44712</v>
      </c>
      <c r="I39" s="448">
        <v>45443</v>
      </c>
      <c r="J39" s="449">
        <v>25000000</v>
      </c>
      <c r="K39" s="449">
        <f>+SUMIF(ARS!$D:$D,Tabla4[[#This Row],[Emision]],ARS!$G:$G)</f>
        <v>0</v>
      </c>
      <c r="L39" s="449">
        <f>+SUMIF(USD!$D:$D,Tabla4[[#This Row],[Emision]],USD!$G:$G)</f>
        <v>0</v>
      </c>
      <c r="M39" s="449">
        <f>+Tabla4[[#This Row],[Valor Residual ARS]]*Tabla4[[#This Row],[% GARANTIZADO]]</f>
        <v>0</v>
      </c>
      <c r="N39" s="449">
        <f>+Tabla4[[#This Row],[Valor Residual USD]]*Tabla4[[#This Row],[% GARANTIZADO]]</f>
        <v>0</v>
      </c>
      <c r="O39" s="490" t="str">
        <f>+IF(Tabla4[[#This Row],[Valor Residual ARS]]&gt;0,CONCATENATE(Tabla4[[#This Row],[Tipo]],""),CONCATENATE(Tabla4[[#This Row],[Tipo]],"vencida"))</f>
        <v>ON Pyme CNV Garantizadavencida</v>
      </c>
      <c r="P39" s="490" t="str">
        <f>+IF(Tabla4[[#This Row],[Valor Residual USD]]&gt;0,CONCATENATE(Tabla4[[#This Row],[Tipo]],""),CONCATENATE(Tabla4[[#This Row],[Tipo]],"vencida"))</f>
        <v>ON Pyme CNV Garantizadavencida</v>
      </c>
    </row>
    <row r="40" spans="1:16" x14ac:dyDescent="0.25">
      <c r="A40" s="441" t="s">
        <v>117</v>
      </c>
      <c r="B40" s="441" t="s">
        <v>459</v>
      </c>
      <c r="C40" s="442" t="s">
        <v>414</v>
      </c>
      <c r="D40" s="443" t="s">
        <v>406</v>
      </c>
      <c r="E40" s="442" t="s">
        <v>17</v>
      </c>
      <c r="F40" s="442" t="s">
        <v>319</v>
      </c>
      <c r="G40" s="498">
        <v>0.5</v>
      </c>
      <c r="H40" s="450">
        <v>43599</v>
      </c>
      <c r="I40" s="450">
        <v>44330</v>
      </c>
      <c r="J40" s="451">
        <v>15000000</v>
      </c>
      <c r="K40" s="451">
        <f>+SUMIF(ARS!$D:$D,Tabla4[[#This Row],[Emision]],ARS!$G:$G)</f>
        <v>0</v>
      </c>
      <c r="L40" s="451">
        <f>+SUMIF(USD!$D:$D,Tabla4[[#This Row],[Emision]],USD!$G:$G)</f>
        <v>0</v>
      </c>
      <c r="M40" s="451">
        <f>+Tabla4[[#This Row],[Valor Residual ARS]]*Tabla4[[#This Row],[% GARANTIZADO]]</f>
        <v>0</v>
      </c>
      <c r="N40" s="451">
        <f>+Tabla4[[#This Row],[Valor Residual USD]]*Tabla4[[#This Row],[% GARANTIZADO]]</f>
        <v>0</v>
      </c>
      <c r="O40" s="495" t="str">
        <f>+IF(Tabla4[[#This Row],[Valor Residual ARS]]&gt;0,CONCATENATE(Tabla4[[#This Row],[Tipo]],""),CONCATENATE(Tabla4[[#This Row],[Tipo]],"vencida"))</f>
        <v>ON Pyme CNV Garantizadavencida</v>
      </c>
      <c r="P40" s="495" t="str">
        <f>+IF(Tabla4[[#This Row],[Valor Residual USD]]&gt;0,CONCATENATE(Tabla4[[#This Row],[Tipo]],""),CONCATENATE(Tabla4[[#This Row],[Tipo]],"vencida"))</f>
        <v>ON Pyme CNV Garantizadavencida</v>
      </c>
    </row>
    <row r="41" spans="1:16" x14ac:dyDescent="0.25">
      <c r="A41" s="441" t="s">
        <v>117</v>
      </c>
      <c r="B41" s="441" t="s">
        <v>459</v>
      </c>
      <c r="C41" s="442" t="s">
        <v>414</v>
      </c>
      <c r="D41" s="443" t="s">
        <v>406</v>
      </c>
      <c r="E41" s="442" t="s">
        <v>17</v>
      </c>
      <c r="F41" s="442" t="s">
        <v>313</v>
      </c>
      <c r="G41" s="497">
        <v>0.5</v>
      </c>
      <c r="H41" s="448">
        <v>43599</v>
      </c>
      <c r="I41" s="448">
        <v>44330</v>
      </c>
      <c r="J41" s="449">
        <v>15000000</v>
      </c>
      <c r="K41" s="449">
        <f>+SUMIF(ARS!$D:$D,Tabla4[[#This Row],[Emision]],ARS!$G:$G)</f>
        <v>0</v>
      </c>
      <c r="L41" s="449">
        <f>+SUMIF(USD!$D:$D,Tabla4[[#This Row],[Emision]],USD!$G:$G)</f>
        <v>0</v>
      </c>
      <c r="M41" s="449">
        <f>+Tabla4[[#This Row],[Valor Residual ARS]]*Tabla4[[#This Row],[% GARANTIZADO]]</f>
        <v>0</v>
      </c>
      <c r="N41" s="449">
        <f>+Tabla4[[#This Row],[Valor Residual USD]]*Tabla4[[#This Row],[% GARANTIZADO]]</f>
        <v>0</v>
      </c>
      <c r="O41" s="490" t="str">
        <f>+IF(Tabla4[[#This Row],[Valor Residual ARS]]&gt;0,CONCATENATE(Tabla4[[#This Row],[Tipo]],""),CONCATENATE(Tabla4[[#This Row],[Tipo]],"vencida"))</f>
        <v>ON Pyme CNV Garantizadavencida</v>
      </c>
      <c r="P41" s="490" t="str">
        <f>+IF(Tabla4[[#This Row],[Valor Residual USD]]&gt;0,CONCATENATE(Tabla4[[#This Row],[Tipo]],""),CONCATENATE(Tabla4[[#This Row],[Tipo]],"vencida"))</f>
        <v>ON Pyme CNV Garantizadavencida</v>
      </c>
    </row>
    <row r="42" spans="1:16" x14ac:dyDescent="0.25">
      <c r="A42" s="441" t="s">
        <v>399</v>
      </c>
      <c r="B42" s="441" t="s">
        <v>430</v>
      </c>
      <c r="C42" s="442" t="s">
        <v>392</v>
      </c>
      <c r="D42" s="443" t="s">
        <v>407</v>
      </c>
      <c r="E42" s="442" t="s">
        <v>61</v>
      </c>
      <c r="F42" s="442"/>
      <c r="G42" s="509">
        <v>1</v>
      </c>
      <c r="H42" s="448">
        <v>44217</v>
      </c>
      <c r="I42" s="448">
        <v>45312</v>
      </c>
      <c r="J42" s="449">
        <v>1004290</v>
      </c>
      <c r="K42" s="449">
        <f>+SUMIF(ARS!$D:$D,Tabla4[[#This Row],[Emision]],ARS!$G:$G)</f>
        <v>0</v>
      </c>
      <c r="L42" s="449">
        <f>+SUMIF(USD!$D:$D,Tabla4[[#This Row],[Emision]],USD!$G:$G)</f>
        <v>0</v>
      </c>
      <c r="M42" s="449">
        <f>+Tabla4[[#This Row],[Valor Residual ARS]]*Tabla4[[#This Row],[% GARANTIZADO]]</f>
        <v>0</v>
      </c>
      <c r="N42" s="449">
        <f>+Tabla4[[#This Row],[Valor Residual USD]]*Tabla4[[#This Row],[% GARANTIZADO]]</f>
        <v>0</v>
      </c>
      <c r="O42" s="490" t="str">
        <f>+IF(Tabla4[[#This Row],[Valor Residual ARS]]&gt;0,CONCATENATE(Tabla4[[#This Row],[Tipo]],""),CONCATENATE(Tabla4[[#This Row],[Tipo]],"vencida"))</f>
        <v>ON Pymevencida</v>
      </c>
      <c r="P42" s="490" t="str">
        <f>+IF(Tabla4[[#This Row],[Valor Residual USD]]&gt;0,CONCATENATE(Tabla4[[#This Row],[Tipo]],""),CONCATENATE(Tabla4[[#This Row],[Tipo]],"vencida"))</f>
        <v>ON Pymevencida</v>
      </c>
    </row>
    <row r="43" spans="1:16" x14ac:dyDescent="0.25">
      <c r="A43" s="441" t="s">
        <v>413</v>
      </c>
      <c r="B43" s="441" t="s">
        <v>460</v>
      </c>
      <c r="C43" s="442" t="s">
        <v>143</v>
      </c>
      <c r="D43" s="443" t="s">
        <v>407</v>
      </c>
      <c r="E43" s="442" t="s">
        <v>17</v>
      </c>
      <c r="F43" s="442" t="s">
        <v>295</v>
      </c>
      <c r="G43" s="497">
        <v>0.1</v>
      </c>
      <c r="H43" s="448">
        <v>43441</v>
      </c>
      <c r="I43" s="448">
        <v>44172</v>
      </c>
      <c r="J43" s="449">
        <v>500000</v>
      </c>
      <c r="K43" s="449">
        <f>+SUMIF(ARS!$D:$D,Tabla4[[#This Row],[Emision]],ARS!$G:$G)</f>
        <v>0</v>
      </c>
      <c r="L43" s="449">
        <f>+SUMIF(USD!$D:$D,Tabla4[[#This Row],[Emision]],USD!$G:$G)</f>
        <v>0</v>
      </c>
      <c r="M43" s="449">
        <f>+Tabla4[[#This Row],[Valor Residual ARS]]*Tabla4[[#This Row],[% GARANTIZADO]]</f>
        <v>0</v>
      </c>
      <c r="N43" s="449">
        <f>+Tabla4[[#This Row],[Valor Residual USD]]*Tabla4[[#This Row],[% GARANTIZADO]]</f>
        <v>0</v>
      </c>
      <c r="O43" s="490" t="str">
        <f>+IF(Tabla4[[#This Row],[Valor Residual ARS]]&gt;0,CONCATENATE(Tabla4[[#This Row],[Tipo]],""),CONCATENATE(Tabla4[[#This Row],[Tipo]],"vencida"))</f>
        <v>ON Pyme CNV Garantizadavencida</v>
      </c>
      <c r="P43" s="490" t="str">
        <f>+IF(Tabla4[[#This Row],[Valor Residual USD]]&gt;0,CONCATENATE(Tabla4[[#This Row],[Tipo]],""),CONCATENATE(Tabla4[[#This Row],[Tipo]],"vencida"))</f>
        <v>ON Pyme CNV Garantizadavencida</v>
      </c>
    </row>
    <row r="44" spans="1:16" x14ac:dyDescent="0.25">
      <c r="A44" s="441" t="s">
        <v>413</v>
      </c>
      <c r="B44" s="441" t="s">
        <v>460</v>
      </c>
      <c r="C44" s="442" t="s">
        <v>143</v>
      </c>
      <c r="D44" s="443" t="s">
        <v>407</v>
      </c>
      <c r="E44" s="442" t="s">
        <v>17</v>
      </c>
      <c r="F44" s="442" t="s">
        <v>308</v>
      </c>
      <c r="G44" s="497">
        <v>0.7</v>
      </c>
      <c r="H44" s="448">
        <v>43441</v>
      </c>
      <c r="I44" s="448">
        <v>44172</v>
      </c>
      <c r="J44" s="449">
        <v>500000</v>
      </c>
      <c r="K44" s="449">
        <f>+SUMIF(ARS!$D:$D,Tabla4[[#This Row],[Emision]],ARS!$G:$G)</f>
        <v>0</v>
      </c>
      <c r="L44" s="449">
        <f>+SUMIF(USD!$D:$D,Tabla4[[#This Row],[Emision]],USD!$G:$G)</f>
        <v>0</v>
      </c>
      <c r="M44" s="449">
        <f>+Tabla4[[#This Row],[Valor Residual ARS]]*Tabla4[[#This Row],[% GARANTIZADO]]</f>
        <v>0</v>
      </c>
      <c r="N44" s="449">
        <f>+Tabla4[[#This Row],[Valor Residual USD]]*Tabla4[[#This Row],[% GARANTIZADO]]</f>
        <v>0</v>
      </c>
      <c r="O44" s="490" t="str">
        <f>+IF(Tabla4[[#This Row],[Valor Residual ARS]]&gt;0,CONCATENATE(Tabla4[[#This Row],[Tipo]],""),CONCATENATE(Tabla4[[#This Row],[Tipo]],"vencida"))</f>
        <v>ON Pyme CNV Garantizadavencida</v>
      </c>
      <c r="P44" s="490" t="str">
        <f>+IF(Tabla4[[#This Row],[Valor Residual USD]]&gt;0,CONCATENATE(Tabla4[[#This Row],[Tipo]],""),CONCATENATE(Tabla4[[#This Row],[Tipo]],"vencida"))</f>
        <v>ON Pyme CNV Garantizadavencida</v>
      </c>
    </row>
    <row r="45" spans="1:16" x14ac:dyDescent="0.25">
      <c r="A45" s="499" t="s">
        <v>413</v>
      </c>
      <c r="B45" s="441" t="s">
        <v>460</v>
      </c>
      <c r="C45" s="442" t="s">
        <v>143</v>
      </c>
      <c r="D45" s="443" t="s">
        <v>407</v>
      </c>
      <c r="E45" s="442" t="s">
        <v>17</v>
      </c>
      <c r="F45" s="442" t="s">
        <v>318</v>
      </c>
      <c r="G45" s="497">
        <v>0.2</v>
      </c>
      <c r="H45" s="448">
        <v>43441</v>
      </c>
      <c r="I45" s="448">
        <v>44172</v>
      </c>
      <c r="J45" s="449">
        <v>500000</v>
      </c>
      <c r="K45" s="449">
        <f>+SUMIF(ARS!$D:$D,Tabla4[[#This Row],[Emision]],ARS!$G:$G)</f>
        <v>0</v>
      </c>
      <c r="L45" s="449">
        <f>+SUMIF(USD!$D:$D,Tabla4[[#This Row],[Emision]],USD!$G:$G)</f>
        <v>0</v>
      </c>
      <c r="M45" s="449">
        <f>+Tabla4[[#This Row],[Valor Residual ARS]]*Tabla4[[#This Row],[% GARANTIZADO]]</f>
        <v>0</v>
      </c>
      <c r="N45" s="449">
        <f>+Tabla4[[#This Row],[Valor Residual USD]]*Tabla4[[#This Row],[% GARANTIZADO]]</f>
        <v>0</v>
      </c>
      <c r="O45" s="490" t="str">
        <f>+IF(Tabla4[[#This Row],[Valor Residual ARS]]&gt;0,CONCATENATE(Tabla4[[#This Row],[Tipo]],""),CONCATENATE(Tabla4[[#This Row],[Tipo]],"vencida"))</f>
        <v>ON Pyme CNV Garantizadavencida</v>
      </c>
      <c r="P45" s="490" t="str">
        <f>+IF(Tabla4[[#This Row],[Valor Residual USD]]&gt;0,CONCATENATE(Tabla4[[#This Row],[Tipo]],""),CONCATENATE(Tabla4[[#This Row],[Tipo]],"vencida"))</f>
        <v>ON Pyme CNV Garantizadavencida</v>
      </c>
    </row>
    <row r="46" spans="1:16" x14ac:dyDescent="0.25">
      <c r="A46" s="441" t="s">
        <v>92</v>
      </c>
      <c r="B46" s="441" t="s">
        <v>461</v>
      </c>
      <c r="C46" s="442" t="s">
        <v>144</v>
      </c>
      <c r="D46" s="443" t="s">
        <v>407</v>
      </c>
      <c r="E46" s="442" t="s">
        <v>17</v>
      </c>
      <c r="F46" s="442" t="s">
        <v>309</v>
      </c>
      <c r="G46" s="497">
        <v>1</v>
      </c>
      <c r="H46" s="448">
        <v>43367</v>
      </c>
      <c r="I46" s="448">
        <v>44463</v>
      </c>
      <c r="J46" s="449">
        <v>100000</v>
      </c>
      <c r="K46" s="449">
        <f>+SUMIF(ARS!$D:$D,Tabla4[[#This Row],[Emision]],ARS!$G:$G)</f>
        <v>0</v>
      </c>
      <c r="L46" s="449">
        <f>+SUMIF(USD!$D:$D,Tabla4[[#This Row],[Emision]],USD!$G:$G)</f>
        <v>0</v>
      </c>
      <c r="M46" s="449">
        <f>+Tabla4[[#This Row],[Valor Residual ARS]]*Tabla4[[#This Row],[% GARANTIZADO]]</f>
        <v>0</v>
      </c>
      <c r="N46" s="449">
        <f>+Tabla4[[#This Row],[Valor Residual USD]]*Tabla4[[#This Row],[% GARANTIZADO]]</f>
        <v>0</v>
      </c>
      <c r="O46" s="490" t="str">
        <f>+IF(Tabla4[[#This Row],[Valor Residual ARS]]&gt;0,CONCATENATE(Tabla4[[#This Row],[Tipo]],""),CONCATENATE(Tabla4[[#This Row],[Tipo]],"vencida"))</f>
        <v>ON Pyme CNV Garantizadavencida</v>
      </c>
      <c r="P46" s="490" t="str">
        <f>+IF(Tabla4[[#This Row],[Valor Residual USD]]&gt;0,CONCATENATE(Tabla4[[#This Row],[Tipo]],""),CONCATENATE(Tabla4[[#This Row],[Tipo]],"vencida"))</f>
        <v>ON Pyme CNV Garantizadavencida</v>
      </c>
    </row>
    <row r="47" spans="1:16" x14ac:dyDescent="0.25">
      <c r="A47" s="441" t="s">
        <v>92</v>
      </c>
      <c r="B47" s="441" t="s">
        <v>461</v>
      </c>
      <c r="C47" s="442" t="s">
        <v>145</v>
      </c>
      <c r="D47" s="443" t="s">
        <v>407</v>
      </c>
      <c r="E47" s="442" t="s">
        <v>17</v>
      </c>
      <c r="F47" s="442" t="s">
        <v>309</v>
      </c>
      <c r="G47" s="497">
        <v>1</v>
      </c>
      <c r="H47" s="448">
        <v>43537</v>
      </c>
      <c r="I47" s="448">
        <v>44633</v>
      </c>
      <c r="J47" s="449">
        <v>80000</v>
      </c>
      <c r="K47" s="449">
        <f>+SUMIF(ARS!$D:$D,Tabla4[[#This Row],[Emision]],ARS!$G:$G)</f>
        <v>0</v>
      </c>
      <c r="L47" s="449">
        <f>+SUMIF(USD!$D:$D,Tabla4[[#This Row],[Emision]],USD!$G:$G)</f>
        <v>0</v>
      </c>
      <c r="M47" s="449">
        <f>+Tabla4[[#This Row],[Valor Residual ARS]]*Tabla4[[#This Row],[% GARANTIZADO]]</f>
        <v>0</v>
      </c>
      <c r="N47" s="449">
        <f>+Tabla4[[#This Row],[Valor Residual USD]]*Tabla4[[#This Row],[% GARANTIZADO]]</f>
        <v>0</v>
      </c>
      <c r="O47" s="490" t="str">
        <f>+IF(Tabla4[[#This Row],[Valor Residual ARS]]&gt;0,CONCATENATE(Tabla4[[#This Row],[Tipo]],""),CONCATENATE(Tabla4[[#This Row],[Tipo]],"vencida"))</f>
        <v>ON Pyme CNV Garantizadavencida</v>
      </c>
      <c r="P47" s="490" t="str">
        <f>+IF(Tabla4[[#This Row],[Valor Residual USD]]&gt;0,CONCATENATE(Tabla4[[#This Row],[Tipo]],""),CONCATENATE(Tabla4[[#This Row],[Tipo]],"vencida"))</f>
        <v>ON Pyme CNV Garantizadavencida</v>
      </c>
    </row>
    <row r="48" spans="1:16" x14ac:dyDescent="0.25">
      <c r="A48" s="441" t="s">
        <v>108</v>
      </c>
      <c r="B48" s="441" t="s">
        <v>462</v>
      </c>
      <c r="C48" s="442" t="s">
        <v>107</v>
      </c>
      <c r="D48" s="443" t="s">
        <v>406</v>
      </c>
      <c r="E48" s="442" t="s">
        <v>17</v>
      </c>
      <c r="F48" s="442" t="s">
        <v>309</v>
      </c>
      <c r="G48" s="497">
        <v>1</v>
      </c>
      <c r="H48" s="448">
        <v>43222</v>
      </c>
      <c r="I48" s="448">
        <v>44318</v>
      </c>
      <c r="J48" s="449">
        <v>20000000</v>
      </c>
      <c r="K48" s="449">
        <f>+SUMIF(ARS!$D:$D,Tabla4[[#This Row],[Emision]],ARS!$G:$G)</f>
        <v>0</v>
      </c>
      <c r="L48" s="449">
        <f>+SUMIF(USD!$D:$D,Tabla4[[#This Row],[Emision]],USD!$G:$G)</f>
        <v>0</v>
      </c>
      <c r="M48" s="449">
        <f>+Tabla4[[#This Row],[Valor Residual ARS]]*Tabla4[[#This Row],[% GARANTIZADO]]</f>
        <v>0</v>
      </c>
      <c r="N48" s="449">
        <f>+Tabla4[[#This Row],[Valor Residual USD]]*Tabla4[[#This Row],[% GARANTIZADO]]</f>
        <v>0</v>
      </c>
      <c r="O48" s="490" t="str">
        <f>+IF(Tabla4[[#This Row],[Valor Residual ARS]]&gt;0,CONCATENATE(Tabla4[[#This Row],[Tipo]],""),CONCATENATE(Tabla4[[#This Row],[Tipo]],"vencida"))</f>
        <v>ON Pyme CNV Garantizadavencida</v>
      </c>
      <c r="P48" s="490" t="str">
        <f>+IF(Tabla4[[#This Row],[Valor Residual USD]]&gt;0,CONCATENATE(Tabla4[[#This Row],[Tipo]],""),CONCATENATE(Tabla4[[#This Row],[Tipo]],"vencida"))</f>
        <v>ON Pyme CNV Garantizadavencida</v>
      </c>
    </row>
    <row r="49" spans="1:16" x14ac:dyDescent="0.25">
      <c r="A49" s="441" t="s">
        <v>109</v>
      </c>
      <c r="B49" s="441" t="s">
        <v>463</v>
      </c>
      <c r="C49" s="442" t="s">
        <v>119</v>
      </c>
      <c r="D49" s="443" t="s">
        <v>406</v>
      </c>
      <c r="E49" s="442" t="s">
        <v>17</v>
      </c>
      <c r="F49" s="442" t="s">
        <v>309</v>
      </c>
      <c r="G49" s="497">
        <v>1</v>
      </c>
      <c r="H49" s="448">
        <v>43342</v>
      </c>
      <c r="I49" s="448">
        <v>44438</v>
      </c>
      <c r="J49" s="449">
        <v>19000000</v>
      </c>
      <c r="K49" s="449">
        <f>+SUMIF(ARS!$D:$D,Tabla4[[#This Row],[Emision]],ARS!$G:$G)</f>
        <v>0</v>
      </c>
      <c r="L49" s="449">
        <f>+SUMIF(USD!$D:$D,Tabla4[[#This Row],[Emision]],USD!$G:$G)</f>
        <v>0</v>
      </c>
      <c r="M49" s="449">
        <f>+Tabla4[[#This Row],[Valor Residual ARS]]*Tabla4[[#This Row],[% GARANTIZADO]]</f>
        <v>0</v>
      </c>
      <c r="N49" s="449">
        <f>+Tabla4[[#This Row],[Valor Residual USD]]*Tabla4[[#This Row],[% GARANTIZADO]]</f>
        <v>0</v>
      </c>
      <c r="O49" s="490" t="str">
        <f>+IF(Tabla4[[#This Row],[Valor Residual ARS]]&gt;0,CONCATENATE(Tabla4[[#This Row],[Tipo]],""),CONCATENATE(Tabla4[[#This Row],[Tipo]],"vencida"))</f>
        <v>ON Pyme CNV Garantizadavencida</v>
      </c>
      <c r="P49" s="490" t="str">
        <f>+IF(Tabla4[[#This Row],[Valor Residual USD]]&gt;0,CONCATENATE(Tabla4[[#This Row],[Tipo]],""),CONCATENATE(Tabla4[[#This Row],[Tipo]],"vencida"))</f>
        <v>ON Pyme CNV Garantizadavencida</v>
      </c>
    </row>
    <row r="50" spans="1:16" x14ac:dyDescent="0.25">
      <c r="A50" s="441" t="s">
        <v>112</v>
      </c>
      <c r="B50" s="441" t="s">
        <v>464</v>
      </c>
      <c r="C50" s="442" t="s">
        <v>111</v>
      </c>
      <c r="D50" s="443" t="s">
        <v>406</v>
      </c>
      <c r="E50" s="442" t="s">
        <v>17</v>
      </c>
      <c r="F50" s="442" t="s">
        <v>308</v>
      </c>
      <c r="G50" s="497">
        <v>0.32</v>
      </c>
      <c r="H50" s="448">
        <v>43615</v>
      </c>
      <c r="I50" s="448">
        <v>44346</v>
      </c>
      <c r="J50" s="449">
        <v>23538460</v>
      </c>
      <c r="K50" s="449">
        <f>+SUMIF(ARS!$D:$D,Tabla4[[#This Row],[Emision]],ARS!$G:$G)</f>
        <v>0</v>
      </c>
      <c r="L50" s="449">
        <f>+SUMIF(USD!$D:$D,Tabla4[[#This Row],[Emision]],USD!$G:$G)</f>
        <v>0</v>
      </c>
      <c r="M50" s="449">
        <f>+Tabla4[[#This Row],[Valor Residual ARS]]*Tabla4[[#This Row],[% GARANTIZADO]]</f>
        <v>0</v>
      </c>
      <c r="N50" s="449">
        <f>+Tabla4[[#This Row],[Valor Residual USD]]*Tabla4[[#This Row],[% GARANTIZADO]]</f>
        <v>0</v>
      </c>
      <c r="O50" s="490" t="str">
        <f>+IF(Tabla4[[#This Row],[Valor Residual ARS]]&gt;0,CONCATENATE(Tabla4[[#This Row],[Tipo]],""),CONCATENATE(Tabla4[[#This Row],[Tipo]],"vencida"))</f>
        <v>ON Pyme CNV Garantizadavencida</v>
      </c>
      <c r="P50" s="490" t="str">
        <f>+IF(Tabla4[[#This Row],[Valor Residual USD]]&gt;0,CONCATENATE(Tabla4[[#This Row],[Tipo]],""),CONCATENATE(Tabla4[[#This Row],[Tipo]],"vencida"))</f>
        <v>ON Pyme CNV Garantizadavencida</v>
      </c>
    </row>
    <row r="51" spans="1:16" x14ac:dyDescent="0.25">
      <c r="A51" s="441" t="s">
        <v>112</v>
      </c>
      <c r="B51" s="441" t="s">
        <v>464</v>
      </c>
      <c r="C51" s="442" t="s">
        <v>111</v>
      </c>
      <c r="D51" s="443" t="s">
        <v>406</v>
      </c>
      <c r="E51" s="442" t="s">
        <v>17</v>
      </c>
      <c r="F51" s="442" t="s">
        <v>325</v>
      </c>
      <c r="G51" s="497">
        <v>0.68</v>
      </c>
      <c r="H51" s="448">
        <v>43615</v>
      </c>
      <c r="I51" s="448">
        <v>44346</v>
      </c>
      <c r="J51" s="449">
        <v>23538460</v>
      </c>
      <c r="K51" s="449">
        <f>+SUMIF(ARS!$D:$D,Tabla4[[#This Row],[Emision]],ARS!$G:$G)</f>
        <v>0</v>
      </c>
      <c r="L51" s="449">
        <f>+SUMIF(USD!$D:$D,Tabla4[[#This Row],[Emision]],USD!$G:$G)</f>
        <v>0</v>
      </c>
      <c r="M51" s="449">
        <f>+Tabla4[[#This Row],[Valor Residual ARS]]*Tabla4[[#This Row],[% GARANTIZADO]]</f>
        <v>0</v>
      </c>
      <c r="N51" s="449">
        <f>+Tabla4[[#This Row],[Valor Residual USD]]*Tabla4[[#This Row],[% GARANTIZADO]]</f>
        <v>0</v>
      </c>
      <c r="O51" s="490" t="str">
        <f>+IF(Tabla4[[#This Row],[Valor Residual ARS]]&gt;0,CONCATENATE(Tabla4[[#This Row],[Tipo]],""),CONCATENATE(Tabla4[[#This Row],[Tipo]],"vencida"))</f>
        <v>ON Pyme CNV Garantizadavencida</v>
      </c>
      <c r="P51" s="490" t="str">
        <f>+IF(Tabla4[[#This Row],[Valor Residual USD]]&gt;0,CONCATENATE(Tabla4[[#This Row],[Tipo]],""),CONCATENATE(Tabla4[[#This Row],[Tipo]],"vencida"))</f>
        <v>ON Pyme CNV Garantizadavencida</v>
      </c>
    </row>
    <row r="52" spans="1:16" x14ac:dyDescent="0.25">
      <c r="A52" s="441" t="s">
        <v>410</v>
      </c>
      <c r="B52" s="441" t="s">
        <v>465</v>
      </c>
      <c r="C52" s="442" t="s">
        <v>113</v>
      </c>
      <c r="D52" s="443" t="s">
        <v>406</v>
      </c>
      <c r="E52" s="442" t="s">
        <v>17</v>
      </c>
      <c r="F52" s="442" t="s">
        <v>309</v>
      </c>
      <c r="G52" s="497">
        <v>1</v>
      </c>
      <c r="H52" s="448">
        <v>43481</v>
      </c>
      <c r="I52" s="448">
        <v>44212</v>
      </c>
      <c r="J52" s="449">
        <v>4000000</v>
      </c>
      <c r="K52" s="449">
        <f>+SUMIF(ARS!$D:$D,Tabla4[[#This Row],[Emision]],ARS!$G:$G)</f>
        <v>0</v>
      </c>
      <c r="L52" s="449">
        <f>+SUMIF(USD!$D:$D,Tabla4[[#This Row],[Emision]],USD!$G:$G)</f>
        <v>0</v>
      </c>
      <c r="M52" s="449">
        <f>+Tabla4[[#This Row],[Valor Residual ARS]]*Tabla4[[#This Row],[% GARANTIZADO]]</f>
        <v>0</v>
      </c>
      <c r="N52" s="449">
        <f>+Tabla4[[#This Row],[Valor Residual USD]]*Tabla4[[#This Row],[% GARANTIZADO]]</f>
        <v>0</v>
      </c>
      <c r="O52" s="490" t="str">
        <f>+IF(Tabla4[[#This Row],[Valor Residual ARS]]&gt;0,CONCATENATE(Tabla4[[#This Row],[Tipo]],""),CONCATENATE(Tabla4[[#This Row],[Tipo]],"vencida"))</f>
        <v>ON Pyme CNV Garantizadavencida</v>
      </c>
      <c r="P52" s="490" t="str">
        <f>+IF(Tabla4[[#This Row],[Valor Residual USD]]&gt;0,CONCATENATE(Tabla4[[#This Row],[Tipo]],""),CONCATENATE(Tabla4[[#This Row],[Tipo]],"vencida"))</f>
        <v>ON Pyme CNV Garantizadavencida</v>
      </c>
    </row>
    <row r="53" spans="1:16" x14ac:dyDescent="0.25">
      <c r="A53" s="441" t="s">
        <v>396</v>
      </c>
      <c r="B53" s="441" t="s">
        <v>431</v>
      </c>
      <c r="C53" s="442" t="s">
        <v>395</v>
      </c>
      <c r="D53" s="443" t="s">
        <v>406</v>
      </c>
      <c r="E53" s="442" t="s">
        <v>61</v>
      </c>
      <c r="F53" s="442"/>
      <c r="G53" s="509">
        <v>1</v>
      </c>
      <c r="H53" s="448">
        <v>44552</v>
      </c>
      <c r="I53" s="448">
        <v>45282</v>
      </c>
      <c r="J53" s="449">
        <v>12000000</v>
      </c>
      <c r="K53" s="449">
        <f>+SUMIF(ARS!$D:$D,Tabla4[[#This Row],[Emision]],ARS!$G:$G)</f>
        <v>0</v>
      </c>
      <c r="L53" s="449">
        <f>+SUMIF(USD!$D:$D,Tabla4[[#This Row],[Emision]],USD!$G:$G)</f>
        <v>0</v>
      </c>
      <c r="M53" s="449">
        <f>+Tabla4[[#This Row],[Valor Residual ARS]]*Tabla4[[#This Row],[% GARANTIZADO]]</f>
        <v>0</v>
      </c>
      <c r="N53" s="449">
        <f>+Tabla4[[#This Row],[Valor Residual USD]]*Tabla4[[#This Row],[% GARANTIZADO]]</f>
        <v>0</v>
      </c>
      <c r="O53" s="490" t="str">
        <f>+IF(Tabla4[[#This Row],[Valor Residual ARS]]&gt;0,CONCATENATE(Tabla4[[#This Row],[Tipo]],""),CONCATENATE(Tabla4[[#This Row],[Tipo]],"vencida"))</f>
        <v>ON Pymevencida</v>
      </c>
      <c r="P53" s="490" t="str">
        <f>+IF(Tabla4[[#This Row],[Valor Residual USD]]&gt;0,CONCATENATE(Tabla4[[#This Row],[Tipo]],""),CONCATENATE(Tabla4[[#This Row],[Tipo]],"vencida"))</f>
        <v>ON Pymevencida</v>
      </c>
    </row>
    <row r="54" spans="1:16" x14ac:dyDescent="0.25">
      <c r="A54" s="441" t="s">
        <v>67</v>
      </c>
      <c r="B54" s="441" t="s">
        <v>466</v>
      </c>
      <c r="C54" s="442" t="s">
        <v>66</v>
      </c>
      <c r="D54" s="443" t="s">
        <v>407</v>
      </c>
      <c r="E54" s="442" t="s">
        <v>17</v>
      </c>
      <c r="F54" s="442" t="s">
        <v>325</v>
      </c>
      <c r="G54" s="497">
        <v>0.3478</v>
      </c>
      <c r="H54" s="448">
        <v>43178</v>
      </c>
      <c r="I54" s="448">
        <v>44274</v>
      </c>
      <c r="J54" s="449">
        <v>575000</v>
      </c>
      <c r="K54" s="449">
        <f>+SUMIF(ARS!$D:$D,Tabla4[[#This Row],[Emision]],ARS!$G:$G)</f>
        <v>0</v>
      </c>
      <c r="L54" s="449">
        <f>+SUMIF(USD!$D:$D,Tabla4[[#This Row],[Emision]],USD!$G:$G)</f>
        <v>0</v>
      </c>
      <c r="M54" s="449">
        <f>+Tabla4[[#This Row],[Valor Residual ARS]]*Tabla4[[#This Row],[% GARANTIZADO]]</f>
        <v>0</v>
      </c>
      <c r="N54" s="449">
        <f>+Tabla4[[#This Row],[Valor Residual USD]]*Tabla4[[#This Row],[% GARANTIZADO]]</f>
        <v>0</v>
      </c>
      <c r="O54" s="490" t="str">
        <f>+IF(Tabla4[[#This Row],[Valor Residual ARS]]&gt;0,CONCATENATE(Tabla4[[#This Row],[Tipo]],""),CONCATENATE(Tabla4[[#This Row],[Tipo]],"vencida"))</f>
        <v>ON Pyme CNV Garantizadavencida</v>
      </c>
      <c r="P54" s="490" t="str">
        <f>+IF(Tabla4[[#This Row],[Valor Residual USD]]&gt;0,CONCATENATE(Tabla4[[#This Row],[Tipo]],""),CONCATENATE(Tabla4[[#This Row],[Tipo]],"vencida"))</f>
        <v>ON Pyme CNV Garantizadavencida</v>
      </c>
    </row>
    <row r="55" spans="1:16" x14ac:dyDescent="0.25">
      <c r="A55" s="441" t="s">
        <v>67</v>
      </c>
      <c r="B55" s="441" t="s">
        <v>466</v>
      </c>
      <c r="C55" s="442" t="s">
        <v>66</v>
      </c>
      <c r="D55" s="443" t="s">
        <v>407</v>
      </c>
      <c r="E55" s="442" t="s">
        <v>17</v>
      </c>
      <c r="F55" s="442" t="s">
        <v>289</v>
      </c>
      <c r="G55" s="497">
        <v>0.3044</v>
      </c>
      <c r="H55" s="448">
        <v>43178</v>
      </c>
      <c r="I55" s="448">
        <v>44274</v>
      </c>
      <c r="J55" s="449">
        <v>575000</v>
      </c>
      <c r="K55" s="449">
        <f>+SUMIF(ARS!$D:$D,Tabla4[[#This Row],[Emision]],ARS!$G:$G)</f>
        <v>0</v>
      </c>
      <c r="L55" s="449">
        <f>+SUMIF(USD!$D:$D,Tabla4[[#This Row],[Emision]],USD!$G:$G)</f>
        <v>0</v>
      </c>
      <c r="M55" s="449">
        <f>+Tabla4[[#This Row],[Valor Residual ARS]]*Tabla4[[#This Row],[% GARANTIZADO]]</f>
        <v>0</v>
      </c>
      <c r="N55" s="449">
        <f>+Tabla4[[#This Row],[Valor Residual USD]]*Tabla4[[#This Row],[% GARANTIZADO]]</f>
        <v>0</v>
      </c>
      <c r="O55" s="490" t="str">
        <f>+IF(Tabla4[[#This Row],[Valor Residual ARS]]&gt;0,CONCATENATE(Tabla4[[#This Row],[Tipo]],""),CONCATENATE(Tabla4[[#This Row],[Tipo]],"vencida"))</f>
        <v>ON Pyme CNV Garantizadavencida</v>
      </c>
      <c r="P55" s="490" t="str">
        <f>+IF(Tabla4[[#This Row],[Valor Residual USD]]&gt;0,CONCATENATE(Tabla4[[#This Row],[Tipo]],""),CONCATENATE(Tabla4[[#This Row],[Tipo]],"vencida"))</f>
        <v>ON Pyme CNV Garantizadavencida</v>
      </c>
    </row>
    <row r="56" spans="1:16" x14ac:dyDescent="0.25">
      <c r="A56" s="441" t="s">
        <v>67</v>
      </c>
      <c r="B56" s="441" t="s">
        <v>466</v>
      </c>
      <c r="C56" s="442" t="s">
        <v>66</v>
      </c>
      <c r="D56" s="443" t="s">
        <v>407</v>
      </c>
      <c r="E56" s="442" t="s">
        <v>17</v>
      </c>
      <c r="F56" s="442" t="s">
        <v>308</v>
      </c>
      <c r="G56" s="497">
        <v>0.3478</v>
      </c>
      <c r="H56" s="448">
        <v>43178</v>
      </c>
      <c r="I56" s="448">
        <v>44274</v>
      </c>
      <c r="J56" s="449">
        <v>575000</v>
      </c>
      <c r="K56" s="449">
        <f>+SUMIF(ARS!$D:$D,Tabla4[[#This Row],[Emision]],ARS!$G:$G)</f>
        <v>0</v>
      </c>
      <c r="L56" s="449">
        <f>+SUMIF(USD!$D:$D,Tabla4[[#This Row],[Emision]],USD!$G:$G)</f>
        <v>0</v>
      </c>
      <c r="M56" s="449">
        <f>+Tabla4[[#This Row],[Valor Residual ARS]]*Tabla4[[#This Row],[% GARANTIZADO]]</f>
        <v>0</v>
      </c>
      <c r="N56" s="449">
        <f>+Tabla4[[#This Row],[Valor Residual USD]]*Tabla4[[#This Row],[% GARANTIZADO]]</f>
        <v>0</v>
      </c>
      <c r="O56" s="490" t="str">
        <f>+IF(Tabla4[[#This Row],[Valor Residual ARS]]&gt;0,CONCATENATE(Tabla4[[#This Row],[Tipo]],""),CONCATENATE(Tabla4[[#This Row],[Tipo]],"vencida"))</f>
        <v>ON Pyme CNV Garantizadavencida</v>
      </c>
      <c r="P56" s="490" t="str">
        <f>+IF(Tabla4[[#This Row],[Valor Residual USD]]&gt;0,CONCATENATE(Tabla4[[#This Row],[Tipo]],""),CONCATENATE(Tabla4[[#This Row],[Tipo]],"vencida"))</f>
        <v>ON Pyme CNV Garantizadavencida</v>
      </c>
    </row>
    <row r="57" spans="1:16" x14ac:dyDescent="0.25">
      <c r="A57" s="441" t="s">
        <v>146</v>
      </c>
      <c r="B57" s="441" t="s">
        <v>432</v>
      </c>
      <c r="C57" s="442" t="s">
        <v>420</v>
      </c>
      <c r="D57" s="443" t="s">
        <v>407</v>
      </c>
      <c r="E57" s="442" t="s">
        <v>17</v>
      </c>
      <c r="F57" s="442" t="s">
        <v>325</v>
      </c>
      <c r="G57" s="497">
        <v>1</v>
      </c>
      <c r="H57" s="448">
        <v>43223</v>
      </c>
      <c r="I57" s="448">
        <v>45049</v>
      </c>
      <c r="J57" s="449">
        <v>1000000</v>
      </c>
      <c r="K57" s="449">
        <f>+SUMIF(ARS!$D:$D,Tabla4[[#This Row],[Emision]],ARS!$G:$G)</f>
        <v>0</v>
      </c>
      <c r="L57" s="449">
        <f>+SUMIF(USD!$D:$D,Tabla4[[#This Row],[Emision]],USD!$G:$G)</f>
        <v>0</v>
      </c>
      <c r="M57" s="449">
        <f>+Tabla4[[#This Row],[Valor Residual ARS]]*Tabla4[[#This Row],[% GARANTIZADO]]</f>
        <v>0</v>
      </c>
      <c r="N57" s="449">
        <f>+Tabla4[[#This Row],[Valor Residual USD]]*Tabla4[[#This Row],[% GARANTIZADO]]</f>
        <v>0</v>
      </c>
      <c r="O57" s="490" t="str">
        <f>+IF(Tabla4[[#This Row],[Valor Residual ARS]]&gt;0,CONCATENATE(Tabla4[[#This Row],[Tipo]],""),CONCATENATE(Tabla4[[#This Row],[Tipo]],"vencida"))</f>
        <v>ON Pyme CNV Garantizadavencida</v>
      </c>
      <c r="P57" s="490" t="str">
        <f>+IF(Tabla4[[#This Row],[Valor Residual USD]]&gt;0,CONCATENATE(Tabla4[[#This Row],[Tipo]],""),CONCATENATE(Tabla4[[#This Row],[Tipo]],"vencida"))</f>
        <v>ON Pyme CNV Garantizadavencida</v>
      </c>
    </row>
    <row r="58" spans="1:16" x14ac:dyDescent="0.25">
      <c r="A58" s="441" t="s">
        <v>411</v>
      </c>
      <c r="B58" s="441" t="s">
        <v>432</v>
      </c>
      <c r="C58" s="442" t="s">
        <v>377</v>
      </c>
      <c r="D58" s="443" t="s">
        <v>406</v>
      </c>
      <c r="E58" s="442" t="s">
        <v>17</v>
      </c>
      <c r="F58" s="442" t="s">
        <v>381</v>
      </c>
      <c r="G58" s="497">
        <v>0.66669999999999996</v>
      </c>
      <c r="H58" s="448">
        <v>44754</v>
      </c>
      <c r="I58" s="448">
        <v>45850</v>
      </c>
      <c r="J58" s="449">
        <v>189274950</v>
      </c>
      <c r="K58" s="449">
        <f>+SUMIF(ARS!$D:$D,Tabla4[[#This Row],[Emision]],ARS!$G:$G)</f>
        <v>0.18927496671676636</v>
      </c>
      <c r="L58" s="449">
        <f>+SUMIF(USD!$D:$D,Tabla4[[#This Row],[Emision]],USD!$G:$G)</f>
        <v>0</v>
      </c>
      <c r="M58" s="449">
        <f>+Tabla4[[#This Row],[Valor Residual ARS]]*Tabla4[[#This Row],[% GARANTIZADO]]</f>
        <v>0.12618962031006811</v>
      </c>
      <c r="N58" s="449">
        <f>+Tabla4[[#This Row],[Valor Residual USD]]*Tabla4[[#This Row],[% GARANTIZADO]]</f>
        <v>0</v>
      </c>
      <c r="O58" s="490" t="str">
        <f>+IF(Tabla4[[#This Row],[Valor Residual ARS]]&gt;0,CONCATENATE(Tabla4[[#This Row],[Tipo]],""),CONCATENATE(Tabla4[[#This Row],[Tipo]],"vencida"))</f>
        <v>ON Pyme CNV Garantizada</v>
      </c>
      <c r="P58" s="490" t="str">
        <f>+IF(Tabla4[[#This Row],[Valor Residual USD]]&gt;0,CONCATENATE(Tabla4[[#This Row],[Tipo]],""),CONCATENATE(Tabla4[[#This Row],[Tipo]],"vencida"))</f>
        <v>ON Pyme CNV Garantizadavencida</v>
      </c>
    </row>
    <row r="59" spans="1:16" x14ac:dyDescent="0.25">
      <c r="A59" s="441" t="s">
        <v>411</v>
      </c>
      <c r="B59" s="441" t="s">
        <v>432</v>
      </c>
      <c r="C59" s="442" t="s">
        <v>377</v>
      </c>
      <c r="D59" s="443" t="s">
        <v>406</v>
      </c>
      <c r="E59" s="442" t="s">
        <v>17</v>
      </c>
      <c r="F59" s="442" t="s">
        <v>380</v>
      </c>
      <c r="G59" s="497">
        <v>0.33329999999999999</v>
      </c>
      <c r="H59" s="448">
        <v>44754</v>
      </c>
      <c r="I59" s="448">
        <v>45850</v>
      </c>
      <c r="J59" s="449">
        <v>189274950</v>
      </c>
      <c r="K59" s="449">
        <f>+SUMIF(ARS!$D:$D,Tabla4[[#This Row],[Emision]],ARS!$G:$G)</f>
        <v>0.18927496671676636</v>
      </c>
      <c r="L59" s="449">
        <f>+SUMIF(USD!$D:$D,Tabla4[[#This Row],[Emision]],USD!$G:$G)</f>
        <v>0</v>
      </c>
      <c r="M59" s="449">
        <f>+Tabla4[[#This Row],[Valor Residual ARS]]*Tabla4[[#This Row],[% GARANTIZADO]]</f>
        <v>6.3085346406698217E-2</v>
      </c>
      <c r="N59" s="449">
        <f>+Tabla4[[#This Row],[Valor Residual USD]]*Tabla4[[#This Row],[% GARANTIZADO]]</f>
        <v>0</v>
      </c>
      <c r="O59" s="490" t="str">
        <f>+IF(Tabla4[[#This Row],[Valor Residual ARS]]&gt;0,CONCATENATE(Tabla4[[#This Row],[Tipo]],""),CONCATENATE(Tabla4[[#This Row],[Tipo]],"vencida"))</f>
        <v>ON Pyme CNV Garantizada</v>
      </c>
      <c r="P59" s="490" t="str">
        <f>+IF(Tabla4[[#This Row],[Valor Residual USD]]&gt;0,CONCATENATE(Tabla4[[#This Row],[Tipo]],""),CONCATENATE(Tabla4[[#This Row],[Tipo]],"vencida"))</f>
        <v>ON Pyme CNV Garantizadavencida</v>
      </c>
    </row>
    <row r="60" spans="1:16" x14ac:dyDescent="0.25">
      <c r="A60" s="441" t="s">
        <v>535</v>
      </c>
      <c r="B60" s="441" t="s">
        <v>537</v>
      </c>
      <c r="C60" s="442" t="s">
        <v>536</v>
      </c>
      <c r="D60" s="443" t="s">
        <v>406</v>
      </c>
      <c r="E60" s="442" t="s">
        <v>17</v>
      </c>
      <c r="F60" s="442" t="s">
        <v>293</v>
      </c>
      <c r="G60" s="498">
        <v>1</v>
      </c>
      <c r="H60" s="450">
        <v>45748</v>
      </c>
      <c r="I60" s="450">
        <v>46478</v>
      </c>
      <c r="J60" s="451">
        <v>200000000</v>
      </c>
      <c r="K60" s="451">
        <f>+SUMIF(ARS!$D:$D,Tabla4[[#This Row],[Emision]],ARS!$G:$G)</f>
        <v>200000000</v>
      </c>
      <c r="L60" s="451">
        <f>+SUMIF(USD!$D:$D,Tabla4[[#This Row],[Emision]],USD!$G:$G)</f>
        <v>0</v>
      </c>
      <c r="M60" s="451">
        <f>+Tabla4[[#This Row],[Valor Residual ARS]]*Tabla4[[#This Row],[% GARANTIZADO]]</f>
        <v>200000000</v>
      </c>
      <c r="N60" s="451">
        <f>+Tabla4[[#This Row],[Valor Residual USD]]*Tabla4[[#This Row],[% GARANTIZADO]]</f>
        <v>0</v>
      </c>
      <c r="O60" s="495" t="str">
        <f>+IF(Tabla4[[#This Row],[Valor Residual ARS]]&gt;0,CONCATENATE(Tabla4[[#This Row],[Tipo]],""),CONCATENATE(Tabla4[[#This Row],[Tipo]],"vencida"))</f>
        <v>ON Pyme CNV Garantizada</v>
      </c>
      <c r="P60" s="495" t="str">
        <f>+IF(Tabla4[[#This Row],[Valor Residual USD]]&gt;0,CONCATENATE(Tabla4[[#This Row],[Tipo]],""),CONCATENATE(Tabla4[[#This Row],[Tipo]],"vencida"))</f>
        <v>ON Pyme CNV Garantizadavencida</v>
      </c>
    </row>
    <row r="61" spans="1:16" x14ac:dyDescent="0.25">
      <c r="A61" s="441" t="s">
        <v>95</v>
      </c>
      <c r="B61" s="441" t="s">
        <v>467</v>
      </c>
      <c r="C61" s="442" t="s">
        <v>147</v>
      </c>
      <c r="D61" s="443" t="s">
        <v>407</v>
      </c>
      <c r="E61" s="442" t="s">
        <v>17</v>
      </c>
      <c r="F61" s="442" t="s">
        <v>293</v>
      </c>
      <c r="G61" s="497">
        <v>0.4</v>
      </c>
      <c r="H61" s="448">
        <v>43115</v>
      </c>
      <c r="I61" s="448">
        <v>44211</v>
      </c>
      <c r="J61" s="449">
        <v>550000</v>
      </c>
      <c r="K61" s="449">
        <f>+SUMIF(ARS!$D:$D,Tabla4[[#This Row],[Emision]],ARS!$G:$G)</f>
        <v>0</v>
      </c>
      <c r="L61" s="449">
        <f>+SUMIF(USD!$D:$D,Tabla4[[#This Row],[Emision]],USD!$G:$G)</f>
        <v>0</v>
      </c>
      <c r="M61" s="449">
        <f>+Tabla4[[#This Row],[Valor Residual ARS]]*Tabla4[[#This Row],[% GARANTIZADO]]</f>
        <v>0</v>
      </c>
      <c r="N61" s="449">
        <f>+Tabla4[[#This Row],[Valor Residual USD]]*Tabla4[[#This Row],[% GARANTIZADO]]</f>
        <v>0</v>
      </c>
      <c r="O61" s="490" t="str">
        <f>+IF(Tabla4[[#This Row],[Valor Residual ARS]]&gt;0,CONCATENATE(Tabla4[[#This Row],[Tipo]],""),CONCATENATE(Tabla4[[#This Row],[Tipo]],"vencida"))</f>
        <v>ON Pyme CNV Garantizadavencida</v>
      </c>
      <c r="P61" s="490" t="str">
        <f>+IF(Tabla4[[#This Row],[Valor Residual USD]]&gt;0,CONCATENATE(Tabla4[[#This Row],[Tipo]],""),CONCATENATE(Tabla4[[#This Row],[Tipo]],"vencida"))</f>
        <v>ON Pyme CNV Garantizadavencida</v>
      </c>
    </row>
    <row r="62" spans="1:16" x14ac:dyDescent="0.25">
      <c r="A62" s="441" t="s">
        <v>95</v>
      </c>
      <c r="B62" s="441" t="s">
        <v>467</v>
      </c>
      <c r="C62" s="442" t="s">
        <v>147</v>
      </c>
      <c r="D62" s="443" t="s">
        <v>407</v>
      </c>
      <c r="E62" s="442" t="s">
        <v>17</v>
      </c>
      <c r="F62" s="442" t="s">
        <v>297</v>
      </c>
      <c r="G62" s="497">
        <v>0.6</v>
      </c>
      <c r="H62" s="448">
        <v>43115</v>
      </c>
      <c r="I62" s="448">
        <v>44211</v>
      </c>
      <c r="J62" s="449">
        <v>550000</v>
      </c>
      <c r="K62" s="449">
        <f>+SUMIF(ARS!$D:$D,Tabla4[[#This Row],[Emision]],ARS!$G:$G)</f>
        <v>0</v>
      </c>
      <c r="L62" s="449">
        <f>+SUMIF(USD!$D:$D,Tabla4[[#This Row],[Emision]],USD!$G:$G)</f>
        <v>0</v>
      </c>
      <c r="M62" s="449">
        <f>+Tabla4[[#This Row],[Valor Residual ARS]]*Tabla4[[#This Row],[% GARANTIZADO]]</f>
        <v>0</v>
      </c>
      <c r="N62" s="449">
        <f>+Tabla4[[#This Row],[Valor Residual USD]]*Tabla4[[#This Row],[% GARANTIZADO]]</f>
        <v>0</v>
      </c>
      <c r="O62" s="490" t="str">
        <f>+IF(Tabla4[[#This Row],[Valor Residual ARS]]&gt;0,CONCATENATE(Tabla4[[#This Row],[Tipo]],""),CONCATENATE(Tabla4[[#This Row],[Tipo]],"vencida"))</f>
        <v>ON Pyme CNV Garantizadavencida</v>
      </c>
      <c r="P62" s="490" t="str">
        <f>+IF(Tabla4[[#This Row],[Valor Residual USD]]&gt;0,CONCATENATE(Tabla4[[#This Row],[Tipo]],""),CONCATENATE(Tabla4[[#This Row],[Tipo]],"vencida"))</f>
        <v>ON Pyme CNV Garantizadavencida</v>
      </c>
    </row>
    <row r="63" spans="1:16" x14ac:dyDescent="0.25">
      <c r="A63" s="441" t="s">
        <v>387</v>
      </c>
      <c r="B63" s="441" t="s">
        <v>433</v>
      </c>
      <c r="C63" s="442" t="s">
        <v>191</v>
      </c>
      <c r="D63" s="443" t="s">
        <v>406</v>
      </c>
      <c r="E63" s="442" t="s">
        <v>17</v>
      </c>
      <c r="F63" s="442" t="s">
        <v>309</v>
      </c>
      <c r="G63" s="497">
        <v>1</v>
      </c>
      <c r="H63" s="448">
        <v>43817</v>
      </c>
      <c r="I63" s="448">
        <v>44914</v>
      </c>
      <c r="J63" s="449">
        <v>4000000</v>
      </c>
      <c r="K63" s="449">
        <f>+SUMIF(ARS!$D:$D,Tabla4[[#This Row],[Emision]],ARS!$G:$G)</f>
        <v>0</v>
      </c>
      <c r="L63" s="449">
        <f>+SUMIF(USD!$D:$D,Tabla4[[#This Row],[Emision]],USD!$G:$G)</f>
        <v>0</v>
      </c>
      <c r="M63" s="449">
        <f>+Tabla4[[#This Row],[Valor Residual ARS]]*Tabla4[[#This Row],[% GARANTIZADO]]</f>
        <v>0</v>
      </c>
      <c r="N63" s="449">
        <f>+Tabla4[[#This Row],[Valor Residual USD]]*Tabla4[[#This Row],[% GARANTIZADO]]</f>
        <v>0</v>
      </c>
      <c r="O63" s="490" t="str">
        <f>+IF(Tabla4[[#This Row],[Valor Residual ARS]]&gt;0,CONCATENATE(Tabla4[[#This Row],[Tipo]],""),CONCATENATE(Tabla4[[#This Row],[Tipo]],"vencida"))</f>
        <v>ON Pyme CNV Garantizadavencida</v>
      </c>
      <c r="P63" s="490" t="str">
        <f>+IF(Tabla4[[#This Row],[Valor Residual USD]]&gt;0,CONCATENATE(Tabla4[[#This Row],[Tipo]],""),CONCATENATE(Tabla4[[#This Row],[Tipo]],"vencida"))</f>
        <v>ON Pyme CNV Garantizadavencida</v>
      </c>
    </row>
    <row r="64" spans="1:16" x14ac:dyDescent="0.25">
      <c r="A64" s="441" t="s">
        <v>273</v>
      </c>
      <c r="B64" s="441" t="s">
        <v>512</v>
      </c>
      <c r="C64" s="442" t="s">
        <v>148</v>
      </c>
      <c r="D64" s="443" t="s">
        <v>407</v>
      </c>
      <c r="E64" s="442" t="s">
        <v>17</v>
      </c>
      <c r="F64" s="442" t="s">
        <v>309</v>
      </c>
      <c r="G64" s="497">
        <v>1</v>
      </c>
      <c r="H64" s="448">
        <v>43313</v>
      </c>
      <c r="I64" s="448">
        <v>44410</v>
      </c>
      <c r="J64" s="449">
        <v>200000</v>
      </c>
      <c r="K64" s="449">
        <f>+SUMIF(ARS!$D:$D,Tabla4[[#This Row],[Emision]],ARS!$G:$G)</f>
        <v>0</v>
      </c>
      <c r="L64" s="449">
        <f>+SUMIF(USD!$D:$D,Tabla4[[#This Row],[Emision]],USD!$G:$G)</f>
        <v>0</v>
      </c>
      <c r="M64" s="449">
        <f>+Tabla4[[#This Row],[Valor Residual ARS]]*Tabla4[[#This Row],[% GARANTIZADO]]</f>
        <v>0</v>
      </c>
      <c r="N64" s="449">
        <f>+Tabla4[[#This Row],[Valor Residual USD]]*Tabla4[[#This Row],[% GARANTIZADO]]</f>
        <v>0</v>
      </c>
      <c r="O64" s="490" t="str">
        <f>+IF(Tabla4[[#This Row],[Valor Residual ARS]]&gt;0,CONCATENATE(Tabla4[[#This Row],[Tipo]],""),CONCATENATE(Tabla4[[#This Row],[Tipo]],"vencida"))</f>
        <v>ON Pyme CNV Garantizadavencida</v>
      </c>
      <c r="P64" s="490" t="str">
        <f>+IF(Tabla4[[#This Row],[Valor Residual USD]]&gt;0,CONCATENATE(Tabla4[[#This Row],[Tipo]],""),CONCATENATE(Tabla4[[#This Row],[Tipo]],"vencida"))</f>
        <v>ON Pyme CNV Garantizadavencida</v>
      </c>
    </row>
    <row r="65" spans="1:16" x14ac:dyDescent="0.25">
      <c r="A65" s="441" t="s">
        <v>236</v>
      </c>
      <c r="B65" s="441" t="s">
        <v>477</v>
      </c>
      <c r="C65" s="442" t="s">
        <v>192</v>
      </c>
      <c r="D65" s="443" t="s">
        <v>407</v>
      </c>
      <c r="E65" s="442" t="s">
        <v>61</v>
      </c>
      <c r="F65" s="442"/>
      <c r="G65" s="509">
        <v>1</v>
      </c>
      <c r="H65" s="448">
        <v>42705</v>
      </c>
      <c r="I65" s="448">
        <v>44166</v>
      </c>
      <c r="J65" s="449">
        <v>5000000</v>
      </c>
      <c r="K65" s="449">
        <f>+SUMIF(ARS!$D:$D,Tabla4[[#This Row],[Emision]],ARS!$G:$G)</f>
        <v>0</v>
      </c>
      <c r="L65" s="449">
        <f>+SUMIF(USD!$D:$D,Tabla4[[#This Row],[Emision]],USD!$G:$G)</f>
        <v>0</v>
      </c>
      <c r="M65" s="449">
        <f>+Tabla4[[#This Row],[Valor Residual ARS]]*Tabla4[[#This Row],[% GARANTIZADO]]</f>
        <v>0</v>
      </c>
      <c r="N65" s="449">
        <f>+Tabla4[[#This Row],[Valor Residual USD]]*Tabla4[[#This Row],[% GARANTIZADO]]</f>
        <v>0</v>
      </c>
      <c r="O65" s="490" t="str">
        <f>+IF(Tabla4[[#This Row],[Valor Residual ARS]]&gt;0,CONCATENATE(Tabla4[[#This Row],[Tipo]],""),CONCATENATE(Tabla4[[#This Row],[Tipo]],"vencida"))</f>
        <v>ON Pymevencida</v>
      </c>
      <c r="P65" s="490" t="str">
        <f>+IF(Tabla4[[#This Row],[Valor Residual USD]]&gt;0,CONCATENATE(Tabla4[[#This Row],[Tipo]],""),CONCATENATE(Tabla4[[#This Row],[Tipo]],"vencida"))</f>
        <v>ON Pymevencida</v>
      </c>
    </row>
    <row r="66" spans="1:16" x14ac:dyDescent="0.25">
      <c r="A66" s="441" t="s">
        <v>236</v>
      </c>
      <c r="B66" s="441" t="s">
        <v>477</v>
      </c>
      <c r="C66" s="442" t="s">
        <v>533</v>
      </c>
      <c r="D66" s="443" t="s">
        <v>407</v>
      </c>
      <c r="E66" s="442" t="s">
        <v>61</v>
      </c>
      <c r="F66" s="442"/>
      <c r="G66" s="509">
        <v>1</v>
      </c>
      <c r="H66" s="448">
        <v>45267</v>
      </c>
      <c r="I66" s="448">
        <v>45998</v>
      </c>
      <c r="J66" s="449">
        <v>5000000</v>
      </c>
      <c r="K66" s="449">
        <f>+SUMIF(ARS!$D:$D,Tabla4[[#This Row],[Emision]],ARS!$G:$G)</f>
        <v>0</v>
      </c>
      <c r="L66" s="449">
        <f>+SUMIF(USD!$D:$D,Tabla4[[#This Row],[Emision]],USD!$G:$G)</f>
        <v>5000000</v>
      </c>
      <c r="M66" s="449">
        <f>+Tabla4[[#This Row],[Valor Residual ARS]]*Tabla4[[#This Row],[% GARANTIZADO]]</f>
        <v>0</v>
      </c>
      <c r="N66" s="449">
        <f>+Tabla4[[#This Row],[Valor Residual USD]]*Tabla4[[#This Row],[% GARANTIZADO]]</f>
        <v>5000000</v>
      </c>
      <c r="O66" s="490" t="str">
        <f>+IF(Tabla4[[#This Row],[Valor Residual ARS]]&gt;0,CONCATENATE(Tabla4[[#This Row],[Tipo]],""),CONCATENATE(Tabla4[[#This Row],[Tipo]],"vencida"))</f>
        <v>ON Pymevencida</v>
      </c>
      <c r="P66" s="490" t="str">
        <f>+IF(Tabla4[[#This Row],[Valor Residual USD]]&gt;0,CONCATENATE(Tabla4[[#This Row],[Tipo]],""),CONCATENATE(Tabla4[[#This Row],[Tipo]],"vencida"))</f>
        <v>ON Pyme</v>
      </c>
    </row>
    <row r="67" spans="1:16" x14ac:dyDescent="0.25">
      <c r="A67" s="441" t="s">
        <v>274</v>
      </c>
      <c r="B67" s="441" t="s">
        <v>516</v>
      </c>
      <c r="C67" s="442" t="s">
        <v>149</v>
      </c>
      <c r="D67" s="443" t="s">
        <v>407</v>
      </c>
      <c r="E67" s="442" t="s">
        <v>17</v>
      </c>
      <c r="F67" s="442" t="s">
        <v>309</v>
      </c>
      <c r="G67" s="497">
        <v>1</v>
      </c>
      <c r="H67" s="448">
        <v>43334</v>
      </c>
      <c r="I67" s="448">
        <v>44065</v>
      </c>
      <c r="J67" s="449">
        <v>145000</v>
      </c>
      <c r="K67" s="449">
        <f>+SUMIF(ARS!$D:$D,Tabla4[[#This Row],[Emision]],ARS!$G:$G)</f>
        <v>0</v>
      </c>
      <c r="L67" s="449">
        <f>+SUMIF(USD!$D:$D,Tabla4[[#This Row],[Emision]],USD!$G:$G)</f>
        <v>0</v>
      </c>
      <c r="M67" s="449">
        <f>+Tabla4[[#This Row],[Valor Residual ARS]]*Tabla4[[#This Row],[% GARANTIZADO]]</f>
        <v>0</v>
      </c>
      <c r="N67" s="449">
        <f>+Tabla4[[#This Row],[Valor Residual USD]]*Tabla4[[#This Row],[% GARANTIZADO]]</f>
        <v>0</v>
      </c>
      <c r="O67" s="490" t="str">
        <f>+IF(Tabla4[[#This Row],[Valor Residual ARS]]&gt;0,CONCATENATE(Tabla4[[#This Row],[Tipo]],""),CONCATENATE(Tabla4[[#This Row],[Tipo]],"vencida"))</f>
        <v>ON Pyme CNV Garantizadavencida</v>
      </c>
      <c r="P67" s="490" t="str">
        <f>+IF(Tabla4[[#This Row],[Valor Residual USD]]&gt;0,CONCATENATE(Tabla4[[#This Row],[Tipo]],""),CONCATENATE(Tabla4[[#This Row],[Tipo]],"vencida"))</f>
        <v>ON Pyme CNV Garantizadavencida</v>
      </c>
    </row>
    <row r="68" spans="1:16" x14ac:dyDescent="0.25">
      <c r="A68" s="441" t="s">
        <v>530</v>
      </c>
      <c r="B68" s="441" t="s">
        <v>531</v>
      </c>
      <c r="C68" s="442" t="s">
        <v>528</v>
      </c>
      <c r="D68" s="443" t="s">
        <v>407</v>
      </c>
      <c r="E68" s="442" t="s">
        <v>17</v>
      </c>
      <c r="F68" s="442" t="s">
        <v>309</v>
      </c>
      <c r="G68" s="497">
        <v>0.5</v>
      </c>
      <c r="H68" s="448">
        <v>45223</v>
      </c>
      <c r="I68" s="448">
        <v>45953</v>
      </c>
      <c r="J68" s="449">
        <v>285697</v>
      </c>
      <c r="K68" s="449">
        <f>+SUMIF(ARS!$D:$D,Tabla4[[#This Row],[Emision]],ARS!$G:$G)</f>
        <v>0</v>
      </c>
      <c r="L68" s="449">
        <f>+SUMIF(USD!$D:$D,Tabla4[[#This Row],[Emision]],USD!$G:$G)</f>
        <v>97136.979999999981</v>
      </c>
      <c r="M68" s="449">
        <f>+Tabla4[[#This Row],[Valor Residual ARS]]*Tabla4[[#This Row],[% GARANTIZADO]]</f>
        <v>0</v>
      </c>
      <c r="N68" s="449">
        <f>+Tabla4[[#This Row],[Valor Residual USD]]*Tabla4[[#This Row],[% GARANTIZADO]]</f>
        <v>48568.489999999991</v>
      </c>
      <c r="O68" s="490" t="str">
        <f>+IF(Tabla4[[#This Row],[Valor Residual ARS]]&gt;0,CONCATENATE(Tabla4[[#This Row],[Tipo]],""),CONCATENATE(Tabla4[[#This Row],[Tipo]],"vencida"))</f>
        <v>ON Pyme CNV Garantizadavencida</v>
      </c>
      <c r="P68" s="490" t="str">
        <f>+IF(Tabla4[[#This Row],[Valor Residual USD]]&gt;0,CONCATENATE(Tabla4[[#This Row],[Tipo]],""),CONCATENATE(Tabla4[[#This Row],[Tipo]],"vencida"))</f>
        <v>ON Pyme CNV Garantizada</v>
      </c>
    </row>
    <row r="69" spans="1:16" x14ac:dyDescent="0.25">
      <c r="A69" s="441" t="s">
        <v>530</v>
      </c>
      <c r="B69" s="441" t="s">
        <v>531</v>
      </c>
      <c r="C69" s="442" t="s">
        <v>528</v>
      </c>
      <c r="D69" s="443" t="s">
        <v>407</v>
      </c>
      <c r="E69" s="442" t="s">
        <v>17</v>
      </c>
      <c r="F69" s="442" t="s">
        <v>532</v>
      </c>
      <c r="G69" s="497">
        <v>0.5</v>
      </c>
      <c r="H69" s="448">
        <v>45223</v>
      </c>
      <c r="I69" s="448">
        <v>45953</v>
      </c>
      <c r="J69" s="449">
        <v>285697</v>
      </c>
      <c r="K69" s="449">
        <f>+SUMIF(ARS!$D:$D,Tabla4[[#This Row],[Emision]],ARS!$G:$G)</f>
        <v>0</v>
      </c>
      <c r="L69" s="449">
        <f>+SUMIF(USD!$D:$D,Tabla4[[#This Row],[Emision]],USD!$G:$G)</f>
        <v>97136.979999999981</v>
      </c>
      <c r="M69" s="449">
        <f>+Tabla4[[#This Row],[Valor Residual ARS]]*Tabla4[[#This Row],[% GARANTIZADO]]</f>
        <v>0</v>
      </c>
      <c r="N69" s="449">
        <f>+Tabla4[[#This Row],[Valor Residual USD]]*Tabla4[[#This Row],[% GARANTIZADO]]</f>
        <v>48568.489999999991</v>
      </c>
      <c r="O69" s="490" t="str">
        <f>+IF(Tabla4[[#This Row],[Valor Residual ARS]]&gt;0,CONCATENATE(Tabla4[[#This Row],[Tipo]],""),CONCATENATE(Tabla4[[#This Row],[Tipo]],"vencida"))</f>
        <v>ON Pyme CNV Garantizadavencida</v>
      </c>
      <c r="P69" s="490" t="str">
        <f>+IF(Tabla4[[#This Row],[Valor Residual USD]]&gt;0,CONCATENATE(Tabla4[[#This Row],[Tipo]],""),CONCATENATE(Tabla4[[#This Row],[Tipo]],"vencida"))</f>
        <v>ON Pyme CNV Garantizada</v>
      </c>
    </row>
    <row r="70" spans="1:16" x14ac:dyDescent="0.25">
      <c r="A70" s="441" t="s">
        <v>275</v>
      </c>
      <c r="B70" s="441" t="s">
        <v>478</v>
      </c>
      <c r="C70" s="442" t="s">
        <v>150</v>
      </c>
      <c r="D70" s="443" t="s">
        <v>407</v>
      </c>
      <c r="E70" s="442" t="s">
        <v>17</v>
      </c>
      <c r="F70" s="442" t="s">
        <v>309</v>
      </c>
      <c r="G70" s="497">
        <v>1</v>
      </c>
      <c r="H70" s="448">
        <v>43476</v>
      </c>
      <c r="I70" s="448">
        <v>44572</v>
      </c>
      <c r="J70" s="449">
        <v>215000</v>
      </c>
      <c r="K70" s="449">
        <f>+SUMIF(ARS!$D:$D,Tabla4[[#This Row],[Emision]],ARS!$G:$G)</f>
        <v>0</v>
      </c>
      <c r="L70" s="449">
        <f>+SUMIF(USD!$D:$D,Tabla4[[#This Row],[Emision]],USD!$G:$G)</f>
        <v>0</v>
      </c>
      <c r="M70" s="449">
        <f>+Tabla4[[#This Row],[Valor Residual ARS]]*Tabla4[[#This Row],[% GARANTIZADO]]</f>
        <v>0</v>
      </c>
      <c r="N70" s="449">
        <f>+Tabla4[[#This Row],[Valor Residual USD]]*Tabla4[[#This Row],[% GARANTIZADO]]</f>
        <v>0</v>
      </c>
      <c r="O70" s="490" t="str">
        <f>+IF(Tabla4[[#This Row],[Valor Residual ARS]]&gt;0,CONCATENATE(Tabla4[[#This Row],[Tipo]],""),CONCATENATE(Tabla4[[#This Row],[Tipo]],"vencida"))</f>
        <v>ON Pyme CNV Garantizadavencida</v>
      </c>
      <c r="P70" s="490" t="str">
        <f>+IF(Tabla4[[#This Row],[Valor Residual USD]]&gt;0,CONCATENATE(Tabla4[[#This Row],[Tipo]],""),CONCATENATE(Tabla4[[#This Row],[Tipo]],"vencida"))</f>
        <v>ON Pyme CNV Garantizadavencida</v>
      </c>
    </row>
    <row r="71" spans="1:16" x14ac:dyDescent="0.25">
      <c r="A71" s="441" t="s">
        <v>237</v>
      </c>
      <c r="B71" s="441" t="s">
        <v>479</v>
      </c>
      <c r="C71" s="442" t="s">
        <v>193</v>
      </c>
      <c r="D71" s="443" t="s">
        <v>407</v>
      </c>
      <c r="E71" s="442" t="s">
        <v>17</v>
      </c>
      <c r="F71" s="442" t="s">
        <v>293</v>
      </c>
      <c r="G71" s="497">
        <v>0.4</v>
      </c>
      <c r="H71" s="448">
        <v>43172</v>
      </c>
      <c r="I71" s="448">
        <v>44268</v>
      </c>
      <c r="J71" s="449">
        <v>600000</v>
      </c>
      <c r="K71" s="449">
        <f>+SUMIF(ARS!$D:$D,Tabla4[[#This Row],[Emision]],ARS!$G:$G)</f>
        <v>0</v>
      </c>
      <c r="L71" s="449">
        <f>+SUMIF(USD!$D:$D,Tabla4[[#This Row],[Emision]],USD!$G:$G)</f>
        <v>0</v>
      </c>
      <c r="M71" s="449">
        <f>+Tabla4[[#This Row],[Valor Residual ARS]]*Tabla4[[#This Row],[% GARANTIZADO]]</f>
        <v>0</v>
      </c>
      <c r="N71" s="449">
        <f>+Tabla4[[#This Row],[Valor Residual USD]]*Tabla4[[#This Row],[% GARANTIZADO]]</f>
        <v>0</v>
      </c>
      <c r="O71" s="490" t="str">
        <f>+IF(Tabla4[[#This Row],[Valor Residual ARS]]&gt;0,CONCATENATE(Tabla4[[#This Row],[Tipo]],""),CONCATENATE(Tabla4[[#This Row],[Tipo]],"vencida"))</f>
        <v>ON Pyme CNV Garantizadavencida</v>
      </c>
      <c r="P71" s="490" t="str">
        <f>+IF(Tabla4[[#This Row],[Valor Residual USD]]&gt;0,CONCATENATE(Tabla4[[#This Row],[Tipo]],""),CONCATENATE(Tabla4[[#This Row],[Tipo]],"vencida"))</f>
        <v>ON Pyme CNV Garantizadavencida</v>
      </c>
    </row>
    <row r="72" spans="1:16" x14ac:dyDescent="0.25">
      <c r="A72" s="441" t="s">
        <v>237</v>
      </c>
      <c r="B72" s="441" t="s">
        <v>479</v>
      </c>
      <c r="C72" s="442" t="s">
        <v>193</v>
      </c>
      <c r="D72" s="443" t="s">
        <v>407</v>
      </c>
      <c r="E72" s="442" t="s">
        <v>17</v>
      </c>
      <c r="F72" s="442" t="s">
        <v>297</v>
      </c>
      <c r="G72" s="497">
        <v>0.6</v>
      </c>
      <c r="H72" s="448">
        <v>43172</v>
      </c>
      <c r="I72" s="448">
        <v>44268</v>
      </c>
      <c r="J72" s="449">
        <v>600000</v>
      </c>
      <c r="K72" s="449">
        <f>+SUMIF(ARS!$D:$D,Tabla4[[#This Row],[Emision]],ARS!$G:$G)</f>
        <v>0</v>
      </c>
      <c r="L72" s="449">
        <f>+SUMIF(USD!$D:$D,Tabla4[[#This Row],[Emision]],USD!$G:$G)</f>
        <v>0</v>
      </c>
      <c r="M72" s="449">
        <f>+Tabla4[[#This Row],[Valor Residual ARS]]*Tabla4[[#This Row],[% GARANTIZADO]]</f>
        <v>0</v>
      </c>
      <c r="N72" s="449">
        <f>+Tabla4[[#This Row],[Valor Residual USD]]*Tabla4[[#This Row],[% GARANTIZADO]]</f>
        <v>0</v>
      </c>
      <c r="O72" s="490" t="str">
        <f>+IF(Tabla4[[#This Row],[Valor Residual ARS]]&gt;0,CONCATENATE(Tabla4[[#This Row],[Tipo]],""),CONCATENATE(Tabla4[[#This Row],[Tipo]],"vencida"))</f>
        <v>ON Pyme CNV Garantizadavencida</v>
      </c>
      <c r="P72" s="490" t="str">
        <f>+IF(Tabla4[[#This Row],[Valor Residual USD]]&gt;0,CONCATENATE(Tabla4[[#This Row],[Tipo]],""),CONCATENATE(Tabla4[[#This Row],[Tipo]],"vencida"))</f>
        <v>ON Pyme CNV Garantizadavencida</v>
      </c>
    </row>
    <row r="73" spans="1:16" x14ac:dyDescent="0.25">
      <c r="A73" s="441" t="s">
        <v>238</v>
      </c>
      <c r="B73" s="441" t="s">
        <v>513</v>
      </c>
      <c r="C73" s="442" t="s">
        <v>194</v>
      </c>
      <c r="D73" s="443" t="s">
        <v>407</v>
      </c>
      <c r="E73" s="442" t="s">
        <v>17</v>
      </c>
      <c r="F73" s="442" t="s">
        <v>309</v>
      </c>
      <c r="G73" s="497">
        <v>1</v>
      </c>
      <c r="H73" s="448">
        <v>43304</v>
      </c>
      <c r="I73" s="448">
        <v>44400</v>
      </c>
      <c r="J73" s="449">
        <v>300000</v>
      </c>
      <c r="K73" s="449">
        <f>+SUMIF(ARS!$D:$D,Tabla4[[#This Row],[Emision]],ARS!$G:$G)</f>
        <v>0</v>
      </c>
      <c r="L73" s="449">
        <f>+SUMIF(USD!$D:$D,Tabla4[[#This Row],[Emision]],USD!$G:$G)</f>
        <v>0</v>
      </c>
      <c r="M73" s="449">
        <f>+Tabla4[[#This Row],[Valor Residual ARS]]*Tabla4[[#This Row],[% GARANTIZADO]]</f>
        <v>0</v>
      </c>
      <c r="N73" s="449">
        <f>+Tabla4[[#This Row],[Valor Residual USD]]*Tabla4[[#This Row],[% GARANTIZADO]]</f>
        <v>0</v>
      </c>
      <c r="O73" s="490" t="str">
        <f>+IF(Tabla4[[#This Row],[Valor Residual ARS]]&gt;0,CONCATENATE(Tabla4[[#This Row],[Tipo]],""),CONCATENATE(Tabla4[[#This Row],[Tipo]],"vencida"))</f>
        <v>ON Pyme CNV Garantizadavencida</v>
      </c>
      <c r="P73" s="490" t="str">
        <f>+IF(Tabla4[[#This Row],[Valor Residual USD]]&gt;0,CONCATENATE(Tabla4[[#This Row],[Tipo]],""),CONCATENATE(Tabla4[[#This Row],[Tipo]],"vencida"))</f>
        <v>ON Pyme CNV Garantizadavencida</v>
      </c>
    </row>
    <row r="74" spans="1:16" x14ac:dyDescent="0.25">
      <c r="A74" s="441" t="s">
        <v>152</v>
      </c>
      <c r="B74" s="441" t="s">
        <v>480</v>
      </c>
      <c r="C74" s="442" t="s">
        <v>154</v>
      </c>
      <c r="D74" s="443" t="s">
        <v>406</v>
      </c>
      <c r="E74" s="442" t="s">
        <v>17</v>
      </c>
      <c r="F74" s="442" t="s">
        <v>309</v>
      </c>
      <c r="G74" s="497">
        <v>1</v>
      </c>
      <c r="H74" s="448">
        <v>43396</v>
      </c>
      <c r="I74" s="448">
        <v>44492</v>
      </c>
      <c r="J74" s="449">
        <v>2800000</v>
      </c>
      <c r="K74" s="449">
        <f>+SUMIF(ARS!$D:$D,Tabla4[[#This Row],[Emision]],ARS!$G:$G)</f>
        <v>0</v>
      </c>
      <c r="L74" s="449">
        <f>+SUMIF(USD!$D:$D,Tabla4[[#This Row],[Emision]],USD!$G:$G)</f>
        <v>0</v>
      </c>
      <c r="M74" s="449">
        <f>+Tabla4[[#This Row],[Valor Residual ARS]]*Tabla4[[#This Row],[% GARANTIZADO]]</f>
        <v>0</v>
      </c>
      <c r="N74" s="449">
        <f>+Tabla4[[#This Row],[Valor Residual USD]]*Tabla4[[#This Row],[% GARANTIZADO]]</f>
        <v>0</v>
      </c>
      <c r="O74" s="490" t="str">
        <f>+IF(Tabla4[[#This Row],[Valor Residual ARS]]&gt;0,CONCATENATE(Tabla4[[#This Row],[Tipo]],""),CONCATENATE(Tabla4[[#This Row],[Tipo]],"vencida"))</f>
        <v>ON Pyme CNV Garantizadavencida</v>
      </c>
      <c r="P74" s="490" t="str">
        <f>+IF(Tabla4[[#This Row],[Valor Residual USD]]&gt;0,CONCATENATE(Tabla4[[#This Row],[Tipo]],""),CONCATENATE(Tabla4[[#This Row],[Tipo]],"vencida"))</f>
        <v>ON Pyme CNV Garantizadavencida</v>
      </c>
    </row>
    <row r="75" spans="1:16" x14ac:dyDescent="0.25">
      <c r="A75" s="441" t="s">
        <v>239</v>
      </c>
      <c r="B75" s="441" t="s">
        <v>468</v>
      </c>
      <c r="C75" s="442" t="s">
        <v>195</v>
      </c>
      <c r="D75" s="443" t="s">
        <v>407</v>
      </c>
      <c r="E75" s="442" t="s">
        <v>17</v>
      </c>
      <c r="F75" s="442" t="s">
        <v>325</v>
      </c>
      <c r="G75" s="497">
        <v>0.29670000000000002</v>
      </c>
      <c r="H75" s="448">
        <v>43208</v>
      </c>
      <c r="I75" s="448">
        <v>44669</v>
      </c>
      <c r="J75" s="449">
        <v>1500000</v>
      </c>
      <c r="K75" s="449">
        <f>+SUMIF(ARS!$D:$D,Tabla4[[#This Row],[Emision]],ARS!$G:$G)</f>
        <v>0</v>
      </c>
      <c r="L75" s="449">
        <f>+SUMIF(USD!$D:$D,Tabla4[[#This Row],[Emision]],USD!$G:$G)</f>
        <v>0</v>
      </c>
      <c r="M75" s="449">
        <f>+Tabla4[[#This Row],[Valor Residual ARS]]*Tabla4[[#This Row],[% GARANTIZADO]]</f>
        <v>0</v>
      </c>
      <c r="N75" s="449">
        <f>+Tabla4[[#This Row],[Valor Residual USD]]*Tabla4[[#This Row],[% GARANTIZADO]]</f>
        <v>0</v>
      </c>
      <c r="O75" s="490" t="str">
        <f>+IF(Tabla4[[#This Row],[Valor Residual ARS]]&gt;0,CONCATENATE(Tabla4[[#This Row],[Tipo]],""),CONCATENATE(Tabla4[[#This Row],[Tipo]],"vencida"))</f>
        <v>ON Pyme CNV Garantizadavencida</v>
      </c>
      <c r="P75" s="490" t="str">
        <f>+IF(Tabla4[[#This Row],[Valor Residual USD]]&gt;0,CONCATENATE(Tabla4[[#This Row],[Tipo]],""),CONCATENATE(Tabla4[[#This Row],[Tipo]],"vencida"))</f>
        <v>ON Pyme CNV Garantizadavencida</v>
      </c>
    </row>
    <row r="76" spans="1:16" x14ac:dyDescent="0.25">
      <c r="A76" s="441" t="s">
        <v>239</v>
      </c>
      <c r="B76" s="441" t="s">
        <v>468</v>
      </c>
      <c r="C76" s="442" t="s">
        <v>195</v>
      </c>
      <c r="D76" s="443" t="s">
        <v>407</v>
      </c>
      <c r="E76" s="442" t="s">
        <v>17</v>
      </c>
      <c r="F76" s="442" t="s">
        <v>287</v>
      </c>
      <c r="G76" s="497">
        <v>0.1767</v>
      </c>
      <c r="H76" s="448">
        <v>43208</v>
      </c>
      <c r="I76" s="448">
        <v>44669</v>
      </c>
      <c r="J76" s="449">
        <v>1500000</v>
      </c>
      <c r="K76" s="449">
        <f>+SUMIF(ARS!$D:$D,Tabla4[[#This Row],[Emision]],ARS!$G:$G)</f>
        <v>0</v>
      </c>
      <c r="L76" s="449">
        <f>+SUMIF(USD!$D:$D,Tabla4[[#This Row],[Emision]],USD!$G:$G)</f>
        <v>0</v>
      </c>
      <c r="M76" s="449">
        <f>+Tabla4[[#This Row],[Valor Residual ARS]]*Tabla4[[#This Row],[% GARANTIZADO]]</f>
        <v>0</v>
      </c>
      <c r="N76" s="449">
        <f>+Tabla4[[#This Row],[Valor Residual USD]]*Tabla4[[#This Row],[% GARANTIZADO]]</f>
        <v>0</v>
      </c>
      <c r="O76" s="490" t="str">
        <f>+IF(Tabla4[[#This Row],[Valor Residual ARS]]&gt;0,CONCATENATE(Tabla4[[#This Row],[Tipo]],""),CONCATENATE(Tabla4[[#This Row],[Tipo]],"vencida"))</f>
        <v>ON Pyme CNV Garantizadavencida</v>
      </c>
      <c r="P76" s="490" t="str">
        <f>+IF(Tabla4[[#This Row],[Valor Residual USD]]&gt;0,CONCATENATE(Tabla4[[#This Row],[Tipo]],""),CONCATENATE(Tabla4[[#This Row],[Tipo]],"vencida"))</f>
        <v>ON Pyme CNV Garantizadavencida</v>
      </c>
    </row>
    <row r="77" spans="1:16" x14ac:dyDescent="0.25">
      <c r="A77" s="441" t="s">
        <v>239</v>
      </c>
      <c r="B77" s="441" t="s">
        <v>468</v>
      </c>
      <c r="C77" s="442" t="s">
        <v>195</v>
      </c>
      <c r="D77" s="443" t="s">
        <v>407</v>
      </c>
      <c r="E77" s="442" t="s">
        <v>17</v>
      </c>
      <c r="F77" s="442" t="s">
        <v>295</v>
      </c>
      <c r="G77" s="497">
        <v>0.3</v>
      </c>
      <c r="H77" s="448">
        <v>43208</v>
      </c>
      <c r="I77" s="448">
        <v>44669</v>
      </c>
      <c r="J77" s="449">
        <v>1500000</v>
      </c>
      <c r="K77" s="449">
        <f>+SUMIF(ARS!$D:$D,Tabla4[[#This Row],[Emision]],ARS!$G:$G)</f>
        <v>0</v>
      </c>
      <c r="L77" s="449">
        <f>+SUMIF(USD!$D:$D,Tabla4[[#This Row],[Emision]],USD!$G:$G)</f>
        <v>0</v>
      </c>
      <c r="M77" s="449">
        <f>+Tabla4[[#This Row],[Valor Residual ARS]]*Tabla4[[#This Row],[% GARANTIZADO]]</f>
        <v>0</v>
      </c>
      <c r="N77" s="449">
        <f>+Tabla4[[#This Row],[Valor Residual USD]]*Tabla4[[#This Row],[% GARANTIZADO]]</f>
        <v>0</v>
      </c>
      <c r="O77" s="490" t="str">
        <f>+IF(Tabla4[[#This Row],[Valor Residual ARS]]&gt;0,CONCATENATE(Tabla4[[#This Row],[Tipo]],""),CONCATENATE(Tabla4[[#This Row],[Tipo]],"vencida"))</f>
        <v>ON Pyme CNV Garantizadavencida</v>
      </c>
      <c r="P77" s="490" t="str">
        <f>+IF(Tabla4[[#This Row],[Valor Residual USD]]&gt;0,CONCATENATE(Tabla4[[#This Row],[Tipo]],""),CONCATENATE(Tabla4[[#This Row],[Tipo]],"vencida"))</f>
        <v>ON Pyme CNV Garantizadavencida</v>
      </c>
    </row>
    <row r="78" spans="1:16" x14ac:dyDescent="0.25">
      <c r="A78" s="441" t="s">
        <v>239</v>
      </c>
      <c r="B78" s="441" t="s">
        <v>468</v>
      </c>
      <c r="C78" s="442" t="s">
        <v>195</v>
      </c>
      <c r="D78" s="443" t="s">
        <v>407</v>
      </c>
      <c r="E78" s="442" t="s">
        <v>17</v>
      </c>
      <c r="F78" s="442" t="s">
        <v>301</v>
      </c>
      <c r="G78" s="497">
        <v>0.2266</v>
      </c>
      <c r="H78" s="448">
        <v>43208</v>
      </c>
      <c r="I78" s="448">
        <v>44669</v>
      </c>
      <c r="J78" s="449">
        <v>1500000</v>
      </c>
      <c r="K78" s="449">
        <f>+SUMIF(ARS!$D:$D,Tabla4[[#This Row],[Emision]],ARS!$G:$G)</f>
        <v>0</v>
      </c>
      <c r="L78" s="449">
        <f>+SUMIF(USD!$D:$D,Tabla4[[#This Row],[Emision]],USD!$G:$G)</f>
        <v>0</v>
      </c>
      <c r="M78" s="449">
        <f>+Tabla4[[#This Row],[Valor Residual ARS]]*Tabla4[[#This Row],[% GARANTIZADO]]</f>
        <v>0</v>
      </c>
      <c r="N78" s="449">
        <f>+Tabla4[[#This Row],[Valor Residual USD]]*Tabla4[[#This Row],[% GARANTIZADO]]</f>
        <v>0</v>
      </c>
      <c r="O78" s="490" t="str">
        <f>+IF(Tabla4[[#This Row],[Valor Residual ARS]]&gt;0,CONCATENATE(Tabla4[[#This Row],[Tipo]],""),CONCATENATE(Tabla4[[#This Row],[Tipo]],"vencida"))</f>
        <v>ON Pyme CNV Garantizadavencida</v>
      </c>
      <c r="P78" s="490" t="str">
        <f>+IF(Tabla4[[#This Row],[Valor Residual USD]]&gt;0,CONCATENATE(Tabla4[[#This Row],[Tipo]],""),CONCATENATE(Tabla4[[#This Row],[Tipo]],"vencida"))</f>
        <v>ON Pyme CNV Garantizadavencida</v>
      </c>
    </row>
    <row r="79" spans="1:16" x14ac:dyDescent="0.25">
      <c r="A79" s="441" t="s">
        <v>155</v>
      </c>
      <c r="B79" s="441" t="s">
        <v>481</v>
      </c>
      <c r="C79" s="442" t="s">
        <v>153</v>
      </c>
      <c r="D79" s="443" t="s">
        <v>406</v>
      </c>
      <c r="E79" s="442" t="s">
        <v>17</v>
      </c>
      <c r="F79" s="442" t="s">
        <v>325</v>
      </c>
      <c r="G79" s="497">
        <v>1</v>
      </c>
      <c r="H79" s="448">
        <v>43683</v>
      </c>
      <c r="I79" s="448">
        <v>44414</v>
      </c>
      <c r="J79" s="449">
        <v>15000000</v>
      </c>
      <c r="K79" s="449">
        <f>+SUMIF(ARS!$D:$D,Tabla4[[#This Row],[Emision]],ARS!$G:$G)</f>
        <v>0</v>
      </c>
      <c r="L79" s="449">
        <f>+SUMIF(USD!$D:$D,Tabla4[[#This Row],[Emision]],USD!$G:$G)</f>
        <v>0</v>
      </c>
      <c r="M79" s="449">
        <f>+Tabla4[[#This Row],[Valor Residual ARS]]*Tabla4[[#This Row],[% GARANTIZADO]]</f>
        <v>0</v>
      </c>
      <c r="N79" s="449">
        <f>+Tabla4[[#This Row],[Valor Residual USD]]*Tabla4[[#This Row],[% GARANTIZADO]]</f>
        <v>0</v>
      </c>
      <c r="O79" s="490" t="str">
        <f>+IF(Tabla4[[#This Row],[Valor Residual ARS]]&gt;0,CONCATENATE(Tabla4[[#This Row],[Tipo]],""),CONCATENATE(Tabla4[[#This Row],[Tipo]],"vencida"))</f>
        <v>ON Pyme CNV Garantizadavencida</v>
      </c>
      <c r="P79" s="490" t="str">
        <f>+IF(Tabla4[[#This Row],[Valor Residual USD]]&gt;0,CONCATENATE(Tabla4[[#This Row],[Tipo]],""),CONCATENATE(Tabla4[[#This Row],[Tipo]],"vencida"))</f>
        <v>ON Pyme CNV Garantizadavencida</v>
      </c>
    </row>
    <row r="80" spans="1:16" x14ac:dyDescent="0.25">
      <c r="A80" s="441" t="s">
        <v>372</v>
      </c>
      <c r="B80" s="441" t="s">
        <v>434</v>
      </c>
      <c r="C80" s="442" t="s">
        <v>371</v>
      </c>
      <c r="D80" s="443" t="s">
        <v>406</v>
      </c>
      <c r="E80" s="442" t="s">
        <v>17</v>
      </c>
      <c r="F80" s="442" t="s">
        <v>287</v>
      </c>
      <c r="G80" s="497">
        <v>1</v>
      </c>
      <c r="H80" s="448">
        <v>44707</v>
      </c>
      <c r="I80" s="448">
        <v>45622</v>
      </c>
      <c r="J80" s="449">
        <v>50000000</v>
      </c>
      <c r="K80" s="449">
        <f>+SUMIF(ARS!$D:$D,Tabla4[[#This Row],[Emision]],ARS!$G:$G)</f>
        <v>0</v>
      </c>
      <c r="L80" s="449">
        <f>+SUMIF(USD!$D:$D,Tabla4[[#This Row],[Emision]],USD!$G:$G)</f>
        <v>0</v>
      </c>
      <c r="M80" s="449">
        <f>+Tabla4[[#This Row],[Valor Residual ARS]]*Tabla4[[#This Row],[% GARANTIZADO]]</f>
        <v>0</v>
      </c>
      <c r="N80" s="449">
        <f>+Tabla4[[#This Row],[Valor Residual USD]]*Tabla4[[#This Row],[% GARANTIZADO]]</f>
        <v>0</v>
      </c>
      <c r="O80" s="490" t="str">
        <f>+IF(Tabla4[[#This Row],[Valor Residual ARS]]&gt;0,CONCATENATE(Tabla4[[#This Row],[Tipo]],""),CONCATENATE(Tabla4[[#This Row],[Tipo]],"vencida"))</f>
        <v>ON Pyme CNV Garantizadavencida</v>
      </c>
      <c r="P80" s="490" t="str">
        <f>+IF(Tabla4[[#This Row],[Valor Residual USD]]&gt;0,CONCATENATE(Tabla4[[#This Row],[Tipo]],""),CONCATENATE(Tabla4[[#This Row],[Tipo]],"vencida"))</f>
        <v>ON Pyme CNV Garantizadavencida</v>
      </c>
    </row>
    <row r="81" spans="1:16" x14ac:dyDescent="0.25">
      <c r="A81" s="441" t="s">
        <v>240</v>
      </c>
      <c r="B81" s="441" t="s">
        <v>482</v>
      </c>
      <c r="C81" s="442" t="s">
        <v>215</v>
      </c>
      <c r="D81" s="443" t="s">
        <v>407</v>
      </c>
      <c r="E81" s="442" t="s">
        <v>61</v>
      </c>
      <c r="F81" s="442"/>
      <c r="G81" s="509">
        <v>1</v>
      </c>
      <c r="H81" s="448">
        <v>43276</v>
      </c>
      <c r="I81" s="448">
        <v>44445</v>
      </c>
      <c r="J81" s="449">
        <v>1168335</v>
      </c>
      <c r="K81" s="449">
        <f>+SUMIF(ARS!$D:$D,Tabla4[[#This Row],[Emision]],ARS!$G:$G)</f>
        <v>0</v>
      </c>
      <c r="L81" s="449">
        <f>+SUMIF(USD!$D:$D,Tabla4[[#This Row],[Emision]],USD!$G:$G)</f>
        <v>0</v>
      </c>
      <c r="M81" s="449">
        <f>+Tabla4[[#This Row],[Valor Residual ARS]]*Tabla4[[#This Row],[% GARANTIZADO]]</f>
        <v>0</v>
      </c>
      <c r="N81" s="449">
        <f>+Tabla4[[#This Row],[Valor Residual USD]]*Tabla4[[#This Row],[% GARANTIZADO]]</f>
        <v>0</v>
      </c>
      <c r="O81" s="490" t="str">
        <f>+IF(Tabla4[[#This Row],[Valor Residual ARS]]&gt;0,CONCATENATE(Tabla4[[#This Row],[Tipo]],""),CONCATENATE(Tabla4[[#This Row],[Tipo]],"vencida"))</f>
        <v>ON Pymevencida</v>
      </c>
      <c r="P81" s="490" t="str">
        <f>+IF(Tabla4[[#This Row],[Valor Residual USD]]&gt;0,CONCATENATE(Tabla4[[#This Row],[Tipo]],""),CONCATENATE(Tabla4[[#This Row],[Tipo]],"vencida"))</f>
        <v>ON Pymevencida</v>
      </c>
    </row>
    <row r="82" spans="1:16" x14ac:dyDescent="0.25">
      <c r="A82" s="441" t="s">
        <v>156</v>
      </c>
      <c r="B82" s="441" t="s">
        <v>483</v>
      </c>
      <c r="C82" s="442" t="s">
        <v>157</v>
      </c>
      <c r="D82" s="443" t="s">
        <v>406</v>
      </c>
      <c r="E82" s="442" t="s">
        <v>17</v>
      </c>
      <c r="F82" s="442" t="s">
        <v>309</v>
      </c>
      <c r="G82" s="497">
        <v>1</v>
      </c>
      <c r="H82" s="448">
        <v>43438</v>
      </c>
      <c r="I82" s="448">
        <v>44169</v>
      </c>
      <c r="J82" s="449">
        <v>2000000</v>
      </c>
      <c r="K82" s="449">
        <f>+SUMIF(ARS!$D:$D,Tabla4[[#This Row],[Emision]],ARS!$G:$G)</f>
        <v>0</v>
      </c>
      <c r="L82" s="449">
        <f>+SUMIF(USD!$D:$D,Tabla4[[#This Row],[Emision]],USD!$G:$G)</f>
        <v>0</v>
      </c>
      <c r="M82" s="449">
        <f>+Tabla4[[#This Row],[Valor Residual ARS]]*Tabla4[[#This Row],[% GARANTIZADO]]</f>
        <v>0</v>
      </c>
      <c r="N82" s="449">
        <f>+Tabla4[[#This Row],[Valor Residual USD]]*Tabla4[[#This Row],[% GARANTIZADO]]</f>
        <v>0</v>
      </c>
      <c r="O82" s="490" t="str">
        <f>+IF(Tabla4[[#This Row],[Valor Residual ARS]]&gt;0,CONCATENATE(Tabla4[[#This Row],[Tipo]],""),CONCATENATE(Tabla4[[#This Row],[Tipo]],"vencida"))</f>
        <v>ON Pyme CNV Garantizadavencida</v>
      </c>
      <c r="P82" s="490" t="str">
        <f>+IF(Tabla4[[#This Row],[Valor Residual USD]]&gt;0,CONCATENATE(Tabla4[[#This Row],[Tipo]],""),CONCATENATE(Tabla4[[#This Row],[Tipo]],"vencida"))</f>
        <v>ON Pyme CNV Garantizadavencida</v>
      </c>
    </row>
    <row r="83" spans="1:16" x14ac:dyDescent="0.25">
      <c r="A83" s="441" t="s">
        <v>241</v>
      </c>
      <c r="B83" s="441" t="s">
        <v>517</v>
      </c>
      <c r="C83" s="442" t="s">
        <v>196</v>
      </c>
      <c r="D83" s="443" t="s">
        <v>407</v>
      </c>
      <c r="E83" s="442" t="s">
        <v>17</v>
      </c>
      <c r="F83" s="442" t="s">
        <v>309</v>
      </c>
      <c r="G83" s="497">
        <v>1</v>
      </c>
      <c r="H83" s="448">
        <v>43216</v>
      </c>
      <c r="I83" s="448">
        <v>44312</v>
      </c>
      <c r="J83" s="449">
        <v>200000</v>
      </c>
      <c r="K83" s="449">
        <f>+SUMIF(ARS!$D:$D,Tabla4[[#This Row],[Emision]],ARS!$G:$G)</f>
        <v>0</v>
      </c>
      <c r="L83" s="449">
        <f>+SUMIF(USD!$D:$D,Tabla4[[#This Row],[Emision]],USD!$G:$G)</f>
        <v>0</v>
      </c>
      <c r="M83" s="449">
        <f>+Tabla4[[#This Row],[Valor Residual ARS]]*Tabla4[[#This Row],[% GARANTIZADO]]</f>
        <v>0</v>
      </c>
      <c r="N83" s="449">
        <f>+Tabla4[[#This Row],[Valor Residual USD]]*Tabla4[[#This Row],[% GARANTIZADO]]</f>
        <v>0</v>
      </c>
      <c r="O83" s="490" t="str">
        <f>+IF(Tabla4[[#This Row],[Valor Residual ARS]]&gt;0,CONCATENATE(Tabla4[[#This Row],[Tipo]],""),CONCATENATE(Tabla4[[#This Row],[Tipo]],"vencida"))</f>
        <v>ON Pyme CNV Garantizadavencida</v>
      </c>
      <c r="P83" s="490" t="str">
        <f>+IF(Tabla4[[#This Row],[Valor Residual USD]]&gt;0,CONCATENATE(Tabla4[[#This Row],[Tipo]],""),CONCATENATE(Tabla4[[#This Row],[Tipo]],"vencida"))</f>
        <v>ON Pyme CNV Garantizadavencida</v>
      </c>
    </row>
    <row r="84" spans="1:16" x14ac:dyDescent="0.25">
      <c r="A84" s="441" t="s">
        <v>243</v>
      </c>
      <c r="B84" s="441" t="s">
        <v>484</v>
      </c>
      <c r="C84" s="442" t="s">
        <v>242</v>
      </c>
      <c r="D84" s="443" t="s">
        <v>407</v>
      </c>
      <c r="E84" s="442" t="s">
        <v>17</v>
      </c>
      <c r="F84" s="442" t="s">
        <v>309</v>
      </c>
      <c r="G84" s="497">
        <v>1</v>
      </c>
      <c r="H84" s="448">
        <v>43552</v>
      </c>
      <c r="I84" s="448">
        <v>44648</v>
      </c>
      <c r="J84" s="449">
        <v>500000</v>
      </c>
      <c r="K84" s="449">
        <f>+SUMIF(ARS!$D:$D,Tabla4[[#This Row],[Emision]],ARS!$G:$G)</f>
        <v>0</v>
      </c>
      <c r="L84" s="449">
        <f>+SUMIF(USD!$D:$D,Tabla4[[#This Row],[Emision]],USD!$G:$G)</f>
        <v>0</v>
      </c>
      <c r="M84" s="449">
        <f>+Tabla4[[#This Row],[Valor Residual ARS]]*Tabla4[[#This Row],[% GARANTIZADO]]</f>
        <v>0</v>
      </c>
      <c r="N84" s="449">
        <f>+Tabla4[[#This Row],[Valor Residual USD]]*Tabla4[[#This Row],[% GARANTIZADO]]</f>
        <v>0</v>
      </c>
      <c r="O84" s="490" t="str">
        <f>+IF(Tabla4[[#This Row],[Valor Residual ARS]]&gt;0,CONCATENATE(Tabla4[[#This Row],[Tipo]],""),CONCATENATE(Tabla4[[#This Row],[Tipo]],"vencida"))</f>
        <v>ON Pyme CNV Garantizadavencida</v>
      </c>
      <c r="P84" s="490" t="str">
        <f>+IF(Tabla4[[#This Row],[Valor Residual USD]]&gt;0,CONCATENATE(Tabla4[[#This Row],[Tipo]],""),CONCATENATE(Tabla4[[#This Row],[Tipo]],"vencida"))</f>
        <v>ON Pyme CNV Garantizadavencida</v>
      </c>
    </row>
    <row r="85" spans="1:16" x14ac:dyDescent="0.25">
      <c r="A85" s="441" t="s">
        <v>519</v>
      </c>
      <c r="B85" s="441" t="s">
        <v>520</v>
      </c>
      <c r="C85" s="444" t="s">
        <v>518</v>
      </c>
      <c r="D85" s="500" t="s">
        <v>407</v>
      </c>
      <c r="E85" s="442" t="s">
        <v>17</v>
      </c>
      <c r="F85" s="444" t="s">
        <v>308</v>
      </c>
      <c r="G85" s="498">
        <v>1</v>
      </c>
      <c r="H85" s="450">
        <v>44855</v>
      </c>
      <c r="I85" s="450">
        <v>45586</v>
      </c>
      <c r="J85" s="451">
        <v>350000</v>
      </c>
      <c r="K85" s="451">
        <f>+SUMIF(ARS!$D:$D,Tabla4[[#This Row],[Emision]],ARS!$G:$G)</f>
        <v>0</v>
      </c>
      <c r="L85" s="451">
        <f>+SUMIF(USD!$D:$D,Tabla4[[#This Row],[Emision]],USD!$G:$G)</f>
        <v>0</v>
      </c>
      <c r="M85" s="451">
        <f>+Tabla4[[#This Row],[Valor Residual ARS]]*Tabla4[[#This Row],[% GARANTIZADO]]</f>
        <v>0</v>
      </c>
      <c r="N85" s="451">
        <f>+Tabla4[[#This Row],[Valor Residual USD]]*Tabla4[[#This Row],[% GARANTIZADO]]</f>
        <v>0</v>
      </c>
      <c r="O85" s="490" t="str">
        <f>+IF(Tabla4[[#This Row],[Valor Residual ARS]]&gt;0,CONCATENATE(Tabla4[[#This Row],[Tipo]],""),CONCATENATE(Tabla4[[#This Row],[Tipo]],"vencida"))</f>
        <v>ON Pyme CNV Garantizadavencida</v>
      </c>
      <c r="P85" s="495" t="str">
        <f>+IF(Tabla4[[#This Row],[Valor Residual USD]]&gt;0,CONCATENATE(Tabla4[[#This Row],[Tipo]],""),CONCATENATE(Tabla4[[#This Row],[Tipo]],"vencida"))</f>
        <v>ON Pyme CNV Garantizadavencida</v>
      </c>
    </row>
    <row r="86" spans="1:16" x14ac:dyDescent="0.25">
      <c r="A86" s="441" t="s">
        <v>366</v>
      </c>
      <c r="B86" s="441" t="s">
        <v>435</v>
      </c>
      <c r="C86" s="442" t="s">
        <v>365</v>
      </c>
      <c r="D86" s="443" t="s">
        <v>406</v>
      </c>
      <c r="E86" s="442" t="s">
        <v>17</v>
      </c>
      <c r="F86" s="442" t="s">
        <v>308</v>
      </c>
      <c r="G86" s="497">
        <v>1</v>
      </c>
      <c r="H86" s="448">
        <v>44648</v>
      </c>
      <c r="I86" s="448">
        <v>45379</v>
      </c>
      <c r="J86" s="449">
        <v>50000000</v>
      </c>
      <c r="K86" s="449">
        <f>+SUMIF(ARS!$D:$D,Tabla4[[#This Row],[Emision]],ARS!$G:$G)</f>
        <v>0</v>
      </c>
      <c r="L86" s="449">
        <f>+SUMIF(USD!$D:$D,Tabla4[[#This Row],[Emision]],USD!$G:$G)</f>
        <v>0</v>
      </c>
      <c r="M86" s="449">
        <f>+Tabla4[[#This Row],[Valor Residual ARS]]*Tabla4[[#This Row],[% GARANTIZADO]]</f>
        <v>0</v>
      </c>
      <c r="N86" s="449">
        <f>+Tabla4[[#This Row],[Valor Residual USD]]*Tabla4[[#This Row],[% GARANTIZADO]]</f>
        <v>0</v>
      </c>
      <c r="O86" s="490" t="str">
        <f>+IF(Tabla4[[#This Row],[Valor Residual ARS]]&gt;0,CONCATENATE(Tabla4[[#This Row],[Tipo]],""),CONCATENATE(Tabla4[[#This Row],[Tipo]],"vencida"))</f>
        <v>ON Pyme CNV Garantizadavencida</v>
      </c>
      <c r="P86" s="490" t="str">
        <f>+IF(Tabla4[[#This Row],[Valor Residual USD]]&gt;0,CONCATENATE(Tabla4[[#This Row],[Tipo]],""),CONCATENATE(Tabla4[[#This Row],[Tipo]],"vencida"))</f>
        <v>ON Pyme CNV Garantizadavencida</v>
      </c>
    </row>
    <row r="87" spans="1:16" x14ac:dyDescent="0.25">
      <c r="A87" s="441" t="s">
        <v>158</v>
      </c>
      <c r="B87" s="441" t="s">
        <v>485</v>
      </c>
      <c r="C87" s="442" t="s">
        <v>159</v>
      </c>
      <c r="D87" s="443" t="s">
        <v>406</v>
      </c>
      <c r="E87" s="442" t="s">
        <v>17</v>
      </c>
      <c r="F87" s="442" t="s">
        <v>309</v>
      </c>
      <c r="G87" s="497">
        <v>1</v>
      </c>
      <c r="H87" s="448">
        <v>43280</v>
      </c>
      <c r="I87" s="448">
        <v>44406</v>
      </c>
      <c r="J87" s="449">
        <v>2000000</v>
      </c>
      <c r="K87" s="449">
        <f>+SUMIF(ARS!$D:$D,Tabla4[[#This Row],[Emision]],ARS!$G:$G)</f>
        <v>0</v>
      </c>
      <c r="L87" s="449">
        <f>+SUMIF(USD!$D:$D,Tabla4[[#This Row],[Emision]],USD!$G:$G)</f>
        <v>0</v>
      </c>
      <c r="M87" s="449">
        <f>+Tabla4[[#This Row],[Valor Residual ARS]]*Tabla4[[#This Row],[% GARANTIZADO]]</f>
        <v>0</v>
      </c>
      <c r="N87" s="449">
        <f>+Tabla4[[#This Row],[Valor Residual USD]]*Tabla4[[#This Row],[% GARANTIZADO]]</f>
        <v>0</v>
      </c>
      <c r="O87" s="490" t="str">
        <f>+IF(Tabla4[[#This Row],[Valor Residual ARS]]&gt;0,CONCATENATE(Tabla4[[#This Row],[Tipo]],""),CONCATENATE(Tabla4[[#This Row],[Tipo]],"vencida"))</f>
        <v>ON Pyme CNV Garantizadavencida</v>
      </c>
      <c r="P87" s="490" t="str">
        <f>+IF(Tabla4[[#This Row],[Valor Residual USD]]&gt;0,CONCATENATE(Tabla4[[#This Row],[Tipo]],""),CONCATENATE(Tabla4[[#This Row],[Tipo]],"vencida"))</f>
        <v>ON Pyme CNV Garantizadavencida</v>
      </c>
    </row>
    <row r="88" spans="1:16" x14ac:dyDescent="0.25">
      <c r="A88" s="441" t="s">
        <v>160</v>
      </c>
      <c r="B88" s="441" t="s">
        <v>474</v>
      </c>
      <c r="C88" s="442" t="s">
        <v>161</v>
      </c>
      <c r="D88" s="443" t="s">
        <v>406</v>
      </c>
      <c r="E88" s="442" t="s">
        <v>17</v>
      </c>
      <c r="F88" s="442" t="s">
        <v>319</v>
      </c>
      <c r="G88" s="497">
        <v>0.5</v>
      </c>
      <c r="H88" s="448">
        <v>43599</v>
      </c>
      <c r="I88" s="448">
        <v>44328</v>
      </c>
      <c r="J88" s="449">
        <v>18000000</v>
      </c>
      <c r="K88" s="449">
        <f>+SUMIF(ARS!$D:$D,Tabla4[[#This Row],[Emision]],ARS!$G:$G)</f>
        <v>0</v>
      </c>
      <c r="L88" s="449">
        <f>+SUMIF(USD!$D:$D,Tabla4[[#This Row],[Emision]],USD!$G:$G)</f>
        <v>0</v>
      </c>
      <c r="M88" s="449">
        <f>+Tabla4[[#This Row],[Valor Residual ARS]]*Tabla4[[#This Row],[% GARANTIZADO]]</f>
        <v>0</v>
      </c>
      <c r="N88" s="449">
        <f>+Tabla4[[#This Row],[Valor Residual USD]]*Tabla4[[#This Row],[% GARANTIZADO]]</f>
        <v>0</v>
      </c>
      <c r="O88" s="490" t="str">
        <f>+IF(Tabla4[[#This Row],[Valor Residual ARS]]&gt;0,CONCATENATE(Tabla4[[#This Row],[Tipo]],""),CONCATENATE(Tabla4[[#This Row],[Tipo]],"vencida"))</f>
        <v>ON Pyme CNV Garantizadavencida</v>
      </c>
      <c r="P88" s="490" t="str">
        <f>+IF(Tabla4[[#This Row],[Valor Residual USD]]&gt;0,CONCATENATE(Tabla4[[#This Row],[Tipo]],""),CONCATENATE(Tabla4[[#This Row],[Tipo]],"vencida"))</f>
        <v>ON Pyme CNV Garantizadavencida</v>
      </c>
    </row>
    <row r="89" spans="1:16" x14ac:dyDescent="0.25">
      <c r="A89" s="441" t="s">
        <v>160</v>
      </c>
      <c r="B89" s="441" t="s">
        <v>474</v>
      </c>
      <c r="C89" s="442" t="s">
        <v>161</v>
      </c>
      <c r="D89" s="443" t="s">
        <v>406</v>
      </c>
      <c r="E89" s="442" t="s">
        <v>17</v>
      </c>
      <c r="F89" s="442" t="s">
        <v>313</v>
      </c>
      <c r="G89" s="497">
        <v>0.5</v>
      </c>
      <c r="H89" s="448">
        <v>43599</v>
      </c>
      <c r="I89" s="448">
        <v>44328</v>
      </c>
      <c r="J89" s="449">
        <v>18000000</v>
      </c>
      <c r="K89" s="449">
        <f>+SUMIF(ARS!$D:$D,Tabla4[[#This Row],[Emision]],ARS!$G:$G)</f>
        <v>0</v>
      </c>
      <c r="L89" s="449">
        <f>+SUMIF(USD!$D:$D,Tabla4[[#This Row],[Emision]],USD!$G:$G)</f>
        <v>0</v>
      </c>
      <c r="M89" s="449">
        <f>+Tabla4[[#This Row],[Valor Residual ARS]]*Tabla4[[#This Row],[% GARANTIZADO]]</f>
        <v>0</v>
      </c>
      <c r="N89" s="449">
        <f>+Tabla4[[#This Row],[Valor Residual USD]]*Tabla4[[#This Row],[% GARANTIZADO]]</f>
        <v>0</v>
      </c>
      <c r="O89" s="490" t="str">
        <f>+IF(Tabla4[[#This Row],[Valor Residual ARS]]&gt;0,CONCATENATE(Tabla4[[#This Row],[Tipo]],""),CONCATENATE(Tabla4[[#This Row],[Tipo]],"vencida"))</f>
        <v>ON Pyme CNV Garantizadavencida</v>
      </c>
      <c r="P89" s="490" t="str">
        <f>+IF(Tabla4[[#This Row],[Valor Residual USD]]&gt;0,CONCATENATE(Tabla4[[#This Row],[Tipo]],""),CONCATENATE(Tabla4[[#This Row],[Tipo]],"vencida"))</f>
        <v>ON Pyme CNV Garantizadavencida</v>
      </c>
    </row>
    <row r="90" spans="1:16" x14ac:dyDescent="0.25">
      <c r="A90" s="441" t="s">
        <v>244</v>
      </c>
      <c r="B90" s="441" t="s">
        <v>486</v>
      </c>
      <c r="C90" s="442" t="s">
        <v>197</v>
      </c>
      <c r="D90" s="443" t="s">
        <v>407</v>
      </c>
      <c r="E90" s="442" t="s">
        <v>17</v>
      </c>
      <c r="F90" s="442" t="s">
        <v>309</v>
      </c>
      <c r="G90" s="497">
        <v>1</v>
      </c>
      <c r="H90" s="448">
        <v>43194</v>
      </c>
      <c r="I90" s="448">
        <v>44292</v>
      </c>
      <c r="J90" s="449">
        <v>300000</v>
      </c>
      <c r="K90" s="449">
        <f>+SUMIF(ARS!$D:$D,Tabla4[[#This Row],[Emision]],ARS!$G:$G)</f>
        <v>0</v>
      </c>
      <c r="L90" s="449">
        <f>+SUMIF(USD!$D:$D,Tabla4[[#This Row],[Emision]],USD!$G:$G)</f>
        <v>0</v>
      </c>
      <c r="M90" s="449">
        <f>+Tabla4[[#This Row],[Valor Residual ARS]]*Tabla4[[#This Row],[% GARANTIZADO]]</f>
        <v>0</v>
      </c>
      <c r="N90" s="449">
        <f>+Tabla4[[#This Row],[Valor Residual USD]]*Tabla4[[#This Row],[% GARANTIZADO]]</f>
        <v>0</v>
      </c>
      <c r="O90" s="490" t="str">
        <f>+IF(Tabla4[[#This Row],[Valor Residual ARS]]&gt;0,CONCATENATE(Tabla4[[#This Row],[Tipo]],""),CONCATENATE(Tabla4[[#This Row],[Tipo]],"vencida"))</f>
        <v>ON Pyme CNV Garantizadavencida</v>
      </c>
      <c r="P90" s="490" t="str">
        <f>+IF(Tabla4[[#This Row],[Valor Residual USD]]&gt;0,CONCATENATE(Tabla4[[#This Row],[Tipo]],""),CONCATENATE(Tabla4[[#This Row],[Tipo]],"vencida"))</f>
        <v>ON Pyme CNV Garantizadavencida</v>
      </c>
    </row>
    <row r="91" spans="1:16" x14ac:dyDescent="0.25">
      <c r="A91" s="441" t="s">
        <v>352</v>
      </c>
      <c r="B91" s="441" t="s">
        <v>436</v>
      </c>
      <c r="C91" s="442" t="s">
        <v>353</v>
      </c>
      <c r="D91" s="443" t="s">
        <v>406</v>
      </c>
      <c r="E91" s="442" t="s">
        <v>17</v>
      </c>
      <c r="F91" s="442" t="s">
        <v>325</v>
      </c>
      <c r="G91" s="497">
        <v>1</v>
      </c>
      <c r="H91" s="448">
        <v>44372</v>
      </c>
      <c r="I91" s="448">
        <v>45102</v>
      </c>
      <c r="J91" s="449">
        <v>40000000</v>
      </c>
      <c r="K91" s="449">
        <f>+SUMIF(ARS!$D:$D,Tabla4[[#This Row],[Emision]],ARS!$G:$G)</f>
        <v>0</v>
      </c>
      <c r="L91" s="449">
        <f>+SUMIF(USD!$D:$D,Tabla4[[#This Row],[Emision]],USD!$G:$G)</f>
        <v>0</v>
      </c>
      <c r="M91" s="449">
        <f>+Tabla4[[#This Row],[Valor Residual ARS]]*Tabla4[[#This Row],[% GARANTIZADO]]</f>
        <v>0</v>
      </c>
      <c r="N91" s="449">
        <f>+Tabla4[[#This Row],[Valor Residual USD]]*Tabla4[[#This Row],[% GARANTIZADO]]</f>
        <v>0</v>
      </c>
      <c r="O91" s="490" t="str">
        <f>+IF(Tabla4[[#This Row],[Valor Residual ARS]]&gt;0,CONCATENATE(Tabla4[[#This Row],[Tipo]],""),CONCATENATE(Tabla4[[#This Row],[Tipo]],"vencida"))</f>
        <v>ON Pyme CNV Garantizadavencida</v>
      </c>
      <c r="P91" s="490" t="str">
        <f>+IF(Tabla4[[#This Row],[Valor Residual USD]]&gt;0,CONCATENATE(Tabla4[[#This Row],[Tipo]],""),CONCATENATE(Tabla4[[#This Row],[Tipo]],"vencida"))</f>
        <v>ON Pyme CNV Garantizadavencida</v>
      </c>
    </row>
    <row r="92" spans="1:16" x14ac:dyDescent="0.25">
      <c r="A92" s="441" t="s">
        <v>246</v>
      </c>
      <c r="B92" s="441" t="s">
        <v>487</v>
      </c>
      <c r="C92" s="442" t="s">
        <v>198</v>
      </c>
      <c r="D92" s="443" t="s">
        <v>406</v>
      </c>
      <c r="E92" s="442" t="s">
        <v>17</v>
      </c>
      <c r="F92" s="442" t="s">
        <v>309</v>
      </c>
      <c r="G92" s="497">
        <v>1</v>
      </c>
      <c r="H92" s="448">
        <v>43209</v>
      </c>
      <c r="I92" s="448">
        <v>43940</v>
      </c>
      <c r="J92" s="449">
        <v>1000000</v>
      </c>
      <c r="K92" s="449">
        <f>+SUMIF(ARS!$D:$D,Tabla4[[#This Row],[Emision]],ARS!$G:$G)</f>
        <v>0</v>
      </c>
      <c r="L92" s="449">
        <f>+SUMIF(USD!$D:$D,Tabla4[[#This Row],[Emision]],USD!$G:$G)</f>
        <v>0</v>
      </c>
      <c r="M92" s="449">
        <f>+Tabla4[[#This Row],[Valor Residual ARS]]*Tabla4[[#This Row],[% GARANTIZADO]]</f>
        <v>0</v>
      </c>
      <c r="N92" s="449">
        <f>+Tabla4[[#This Row],[Valor Residual USD]]*Tabla4[[#This Row],[% GARANTIZADO]]</f>
        <v>0</v>
      </c>
      <c r="O92" s="490" t="str">
        <f>+IF(Tabla4[[#This Row],[Valor Residual ARS]]&gt;0,CONCATENATE(Tabla4[[#This Row],[Tipo]],""),CONCATENATE(Tabla4[[#This Row],[Tipo]],"vencida"))</f>
        <v>ON Pyme CNV Garantizadavencida</v>
      </c>
      <c r="P92" s="490" t="str">
        <f>+IF(Tabla4[[#This Row],[Valor Residual USD]]&gt;0,CONCATENATE(Tabla4[[#This Row],[Tipo]],""),CONCATENATE(Tabla4[[#This Row],[Tipo]],"vencida"))</f>
        <v>ON Pyme CNV Garantizadavencida</v>
      </c>
    </row>
    <row r="93" spans="1:16" x14ac:dyDescent="0.25">
      <c r="A93" s="441" t="s">
        <v>247</v>
      </c>
      <c r="B93" s="441" t="s">
        <v>488</v>
      </c>
      <c r="C93" s="442" t="s">
        <v>214</v>
      </c>
      <c r="D93" s="443" t="s">
        <v>406</v>
      </c>
      <c r="E93" s="442" t="s">
        <v>61</v>
      </c>
      <c r="F93" s="442"/>
      <c r="G93" s="509">
        <v>1</v>
      </c>
      <c r="H93" s="448">
        <v>43249</v>
      </c>
      <c r="I93" s="448">
        <v>43980</v>
      </c>
      <c r="J93" s="449">
        <v>23100000</v>
      </c>
      <c r="K93" s="449">
        <f>+SUMIF(ARS!$D:$D,Tabla4[[#This Row],[Emision]],ARS!$G:$G)</f>
        <v>0</v>
      </c>
      <c r="L93" s="449">
        <f>+SUMIF(USD!$D:$D,Tabla4[[#This Row],[Emision]],USD!$G:$G)</f>
        <v>0</v>
      </c>
      <c r="M93" s="449">
        <f>+Tabla4[[#This Row],[Valor Residual ARS]]*Tabla4[[#This Row],[% GARANTIZADO]]</f>
        <v>0</v>
      </c>
      <c r="N93" s="449">
        <f>+Tabla4[[#This Row],[Valor Residual USD]]*Tabla4[[#This Row],[% GARANTIZADO]]</f>
        <v>0</v>
      </c>
      <c r="O93" s="490" t="str">
        <f>+IF(Tabla4[[#This Row],[Valor Residual ARS]]&gt;0,CONCATENATE(Tabla4[[#This Row],[Tipo]],""),CONCATENATE(Tabla4[[#This Row],[Tipo]],"vencida"))</f>
        <v>ON Pymevencida</v>
      </c>
      <c r="P93" s="490" t="str">
        <f>+IF(Tabla4[[#This Row],[Valor Residual USD]]&gt;0,CONCATENATE(Tabla4[[#This Row],[Tipo]],""),CONCATENATE(Tabla4[[#This Row],[Tipo]],"vencida"))</f>
        <v>ON Pymevencida</v>
      </c>
    </row>
    <row r="94" spans="1:16" x14ac:dyDescent="0.25">
      <c r="A94" s="441" t="s">
        <v>248</v>
      </c>
      <c r="B94" s="441" t="s">
        <v>514</v>
      </c>
      <c r="C94" s="442" t="s">
        <v>252</v>
      </c>
      <c r="D94" s="443" t="s">
        <v>407</v>
      </c>
      <c r="E94" s="442" t="s">
        <v>17</v>
      </c>
      <c r="F94" s="442" t="s">
        <v>309</v>
      </c>
      <c r="G94" s="497">
        <v>1</v>
      </c>
      <c r="H94" s="448">
        <v>43452</v>
      </c>
      <c r="I94" s="448">
        <v>44548</v>
      </c>
      <c r="J94" s="449">
        <v>150000</v>
      </c>
      <c r="K94" s="449">
        <f>+SUMIF(ARS!$D:$D,Tabla4[[#This Row],[Emision]],ARS!$G:$G)</f>
        <v>0</v>
      </c>
      <c r="L94" s="449">
        <f>+SUMIF(USD!$D:$D,Tabla4[[#This Row],[Emision]],USD!$G:$G)</f>
        <v>0</v>
      </c>
      <c r="M94" s="449">
        <f>+Tabla4[[#This Row],[Valor Residual ARS]]*Tabla4[[#This Row],[% GARANTIZADO]]</f>
        <v>0</v>
      </c>
      <c r="N94" s="449">
        <f>+Tabla4[[#This Row],[Valor Residual USD]]*Tabla4[[#This Row],[% GARANTIZADO]]</f>
        <v>0</v>
      </c>
      <c r="O94" s="490" t="str">
        <f>+IF(Tabla4[[#This Row],[Valor Residual ARS]]&gt;0,CONCATENATE(Tabla4[[#This Row],[Tipo]],""),CONCATENATE(Tabla4[[#This Row],[Tipo]],"vencida"))</f>
        <v>ON Pyme CNV Garantizadavencida</v>
      </c>
      <c r="P94" s="490" t="str">
        <f>+IF(Tabla4[[#This Row],[Valor Residual USD]]&gt;0,CONCATENATE(Tabla4[[#This Row],[Tipo]],""),CONCATENATE(Tabla4[[#This Row],[Tipo]],"vencida"))</f>
        <v>ON Pyme CNV Garantizadavencida</v>
      </c>
    </row>
    <row r="95" spans="1:16" x14ac:dyDescent="0.25">
      <c r="A95" s="441" t="s">
        <v>362</v>
      </c>
      <c r="B95" s="441" t="s">
        <v>445</v>
      </c>
      <c r="C95" s="442" t="s">
        <v>361</v>
      </c>
      <c r="D95" s="443" t="s">
        <v>406</v>
      </c>
      <c r="E95" s="442" t="s">
        <v>17</v>
      </c>
      <c r="F95" s="442" t="s">
        <v>319</v>
      </c>
      <c r="G95" s="497">
        <v>0.5</v>
      </c>
      <c r="H95" s="448">
        <v>44592</v>
      </c>
      <c r="I95" s="448">
        <v>45322</v>
      </c>
      <c r="J95" s="449">
        <v>30000000</v>
      </c>
      <c r="K95" s="449">
        <f>+SUMIF(ARS!$D:$D,Tabla4[[#This Row],[Emision]],ARS!$G:$G)</f>
        <v>0</v>
      </c>
      <c r="L95" s="449">
        <f>+SUMIF(USD!$D:$D,Tabla4[[#This Row],[Emision]],USD!$G:$G)</f>
        <v>0</v>
      </c>
      <c r="M95" s="449">
        <f>+Tabla4[[#This Row],[Valor Residual ARS]]*Tabla4[[#This Row],[% GARANTIZADO]]</f>
        <v>0</v>
      </c>
      <c r="N95" s="449">
        <f>+Tabla4[[#This Row],[Valor Residual USD]]*Tabla4[[#This Row],[% GARANTIZADO]]</f>
        <v>0</v>
      </c>
      <c r="O95" s="490" t="str">
        <f>+IF(Tabla4[[#This Row],[Valor Residual ARS]]&gt;0,CONCATENATE(Tabla4[[#This Row],[Tipo]],""),CONCATENATE(Tabla4[[#This Row],[Tipo]],"vencida"))</f>
        <v>ON Pyme CNV Garantizadavencida</v>
      </c>
      <c r="P95" s="490" t="str">
        <f>+IF(Tabla4[[#This Row],[Valor Residual USD]]&gt;0,CONCATENATE(Tabla4[[#This Row],[Tipo]],""),CONCATENATE(Tabla4[[#This Row],[Tipo]],"vencida"))</f>
        <v>ON Pyme CNV Garantizadavencida</v>
      </c>
    </row>
    <row r="96" spans="1:16" x14ac:dyDescent="0.25">
      <c r="A96" s="441" t="s">
        <v>362</v>
      </c>
      <c r="B96" s="441" t="s">
        <v>437</v>
      </c>
      <c r="C96" s="442" t="s">
        <v>361</v>
      </c>
      <c r="D96" s="443" t="s">
        <v>406</v>
      </c>
      <c r="E96" s="442" t="s">
        <v>17</v>
      </c>
      <c r="F96" s="442" t="s">
        <v>313</v>
      </c>
      <c r="G96" s="497">
        <v>0.5</v>
      </c>
      <c r="H96" s="448">
        <v>44592</v>
      </c>
      <c r="I96" s="448">
        <v>45322</v>
      </c>
      <c r="J96" s="449">
        <v>30000000</v>
      </c>
      <c r="K96" s="449">
        <f>+SUMIF(ARS!$D:$D,Tabla4[[#This Row],[Emision]],ARS!$G:$G)</f>
        <v>0</v>
      </c>
      <c r="L96" s="449">
        <f>+SUMIF(USD!$D:$D,Tabla4[[#This Row],[Emision]],USD!$G:$G)</f>
        <v>0</v>
      </c>
      <c r="M96" s="449">
        <f>+Tabla4[[#This Row],[Valor Residual ARS]]*Tabla4[[#This Row],[% GARANTIZADO]]</f>
        <v>0</v>
      </c>
      <c r="N96" s="449">
        <f>+Tabla4[[#This Row],[Valor Residual USD]]*Tabla4[[#This Row],[% GARANTIZADO]]</f>
        <v>0</v>
      </c>
      <c r="O96" s="490" t="str">
        <f>+IF(Tabla4[[#This Row],[Valor Residual ARS]]&gt;0,CONCATENATE(Tabla4[[#This Row],[Tipo]],""),CONCATENATE(Tabla4[[#This Row],[Tipo]],"vencida"))</f>
        <v>ON Pyme CNV Garantizadavencida</v>
      </c>
      <c r="P96" s="490" t="str">
        <f>+IF(Tabla4[[#This Row],[Valor Residual USD]]&gt;0,CONCATENATE(Tabla4[[#This Row],[Tipo]],""),CONCATENATE(Tabla4[[#This Row],[Tipo]],"vencida"))</f>
        <v>ON Pyme CNV Garantizadavencida</v>
      </c>
    </row>
    <row r="97" spans="1:16" x14ac:dyDescent="0.25">
      <c r="A97" s="441" t="s">
        <v>515</v>
      </c>
      <c r="B97" s="441" t="s">
        <v>489</v>
      </c>
      <c r="C97" s="442" t="s">
        <v>162</v>
      </c>
      <c r="D97" s="443" t="s">
        <v>406</v>
      </c>
      <c r="E97" s="442" t="s">
        <v>17</v>
      </c>
      <c r="F97" s="442" t="s">
        <v>309</v>
      </c>
      <c r="G97" s="497">
        <v>1</v>
      </c>
      <c r="H97" s="448">
        <v>43613</v>
      </c>
      <c r="I97" s="448">
        <v>44709</v>
      </c>
      <c r="J97" s="449">
        <v>10000000</v>
      </c>
      <c r="K97" s="449">
        <f>+SUMIF(ARS!$D:$D,Tabla4[[#This Row],[Emision]],ARS!$G:$G)</f>
        <v>0</v>
      </c>
      <c r="L97" s="449">
        <f>+SUMIF(USD!$D:$D,Tabla4[[#This Row],[Emision]],USD!$G:$G)</f>
        <v>0</v>
      </c>
      <c r="M97" s="449">
        <f>+Tabla4[[#This Row],[Valor Residual ARS]]*Tabla4[[#This Row],[% GARANTIZADO]]</f>
        <v>0</v>
      </c>
      <c r="N97" s="449">
        <f>+Tabla4[[#This Row],[Valor Residual USD]]*Tabla4[[#This Row],[% GARANTIZADO]]</f>
        <v>0</v>
      </c>
      <c r="O97" s="490" t="str">
        <f>+IF(Tabla4[[#This Row],[Valor Residual ARS]]&gt;0,CONCATENATE(Tabla4[[#This Row],[Tipo]],""),CONCATENATE(Tabla4[[#This Row],[Tipo]],"vencida"))</f>
        <v>ON Pyme CNV Garantizadavencida</v>
      </c>
      <c r="P97" s="490" t="str">
        <f>+IF(Tabla4[[#This Row],[Valor Residual USD]]&gt;0,CONCATENATE(Tabla4[[#This Row],[Tipo]],""),CONCATENATE(Tabla4[[#This Row],[Tipo]],"vencida"))</f>
        <v>ON Pyme CNV Garantizadavencida</v>
      </c>
    </row>
    <row r="98" spans="1:16" x14ac:dyDescent="0.25">
      <c r="A98" s="441" t="s">
        <v>69</v>
      </c>
      <c r="B98" s="441" t="s">
        <v>490</v>
      </c>
      <c r="C98" s="442" t="s">
        <v>68</v>
      </c>
      <c r="D98" s="443" t="s">
        <v>406</v>
      </c>
      <c r="E98" s="442" t="s">
        <v>17</v>
      </c>
      <c r="F98" s="442" t="s">
        <v>325</v>
      </c>
      <c r="G98" s="497">
        <v>1</v>
      </c>
      <c r="H98" s="448">
        <v>43097</v>
      </c>
      <c r="I98" s="448">
        <v>44193</v>
      </c>
      <c r="J98" s="449">
        <v>20000000</v>
      </c>
      <c r="K98" s="449">
        <f>+SUMIF(ARS!$D:$D,Tabla4[[#This Row],[Emision]],ARS!$G:$G)</f>
        <v>0</v>
      </c>
      <c r="L98" s="449">
        <f>+SUMIF(USD!$D:$D,Tabla4[[#This Row],[Emision]],USD!$G:$G)</f>
        <v>0</v>
      </c>
      <c r="M98" s="449">
        <f>+Tabla4[[#This Row],[Valor Residual ARS]]*Tabla4[[#This Row],[% GARANTIZADO]]</f>
        <v>0</v>
      </c>
      <c r="N98" s="449">
        <f>+Tabla4[[#This Row],[Valor Residual USD]]*Tabla4[[#This Row],[% GARANTIZADO]]</f>
        <v>0</v>
      </c>
      <c r="O98" s="490" t="str">
        <f>+IF(Tabla4[[#This Row],[Valor Residual ARS]]&gt;0,CONCATENATE(Tabla4[[#This Row],[Tipo]],""),CONCATENATE(Tabla4[[#This Row],[Tipo]],"vencida"))</f>
        <v>ON Pyme CNV Garantizadavencida</v>
      </c>
      <c r="P98" s="490" t="str">
        <f>+IF(Tabla4[[#This Row],[Valor Residual USD]]&gt;0,CONCATENATE(Tabla4[[#This Row],[Tipo]],""),CONCATENATE(Tabla4[[#This Row],[Tipo]],"vencida"))</f>
        <v>ON Pyme CNV Garantizadavencida</v>
      </c>
    </row>
    <row r="99" spans="1:16" x14ac:dyDescent="0.25">
      <c r="A99" s="441" t="s">
        <v>251</v>
      </c>
      <c r="B99" s="441" t="s">
        <v>491</v>
      </c>
      <c r="C99" s="442" t="s">
        <v>199</v>
      </c>
      <c r="D99" s="443" t="s">
        <v>407</v>
      </c>
      <c r="E99" s="442" t="s">
        <v>17</v>
      </c>
      <c r="F99" s="442" t="s">
        <v>309</v>
      </c>
      <c r="G99" s="497">
        <v>1</v>
      </c>
      <c r="H99" s="448">
        <v>43276</v>
      </c>
      <c r="I99" s="448">
        <v>44007</v>
      </c>
      <c r="J99" s="449">
        <v>500000</v>
      </c>
      <c r="K99" s="449">
        <f>+SUMIF(ARS!$D:$D,Tabla4[[#This Row],[Emision]],ARS!$G:$G)</f>
        <v>0</v>
      </c>
      <c r="L99" s="449">
        <f>+SUMIF(USD!$D:$D,Tabla4[[#This Row],[Emision]],USD!$G:$G)</f>
        <v>0</v>
      </c>
      <c r="M99" s="449">
        <f>+Tabla4[[#This Row],[Valor Residual ARS]]*Tabla4[[#This Row],[% GARANTIZADO]]</f>
        <v>0</v>
      </c>
      <c r="N99" s="449">
        <f>+Tabla4[[#This Row],[Valor Residual USD]]*Tabla4[[#This Row],[% GARANTIZADO]]</f>
        <v>0</v>
      </c>
      <c r="O99" s="490" t="str">
        <f>+IF(Tabla4[[#This Row],[Valor Residual ARS]]&gt;0,CONCATENATE(Tabla4[[#This Row],[Tipo]],""),CONCATENATE(Tabla4[[#This Row],[Tipo]],"vencida"))</f>
        <v>ON Pyme CNV Garantizadavencida</v>
      </c>
      <c r="P99" s="490" t="str">
        <f>+IF(Tabla4[[#This Row],[Valor Residual USD]]&gt;0,CONCATENATE(Tabla4[[#This Row],[Tipo]],""),CONCATENATE(Tabla4[[#This Row],[Tipo]],"vencida"))</f>
        <v>ON Pyme CNV Garantizadavencida</v>
      </c>
    </row>
    <row r="100" spans="1:16" x14ac:dyDescent="0.25">
      <c r="A100" s="441" t="s">
        <v>165</v>
      </c>
      <c r="B100" s="441" t="s">
        <v>469</v>
      </c>
      <c r="C100" s="442" t="s">
        <v>166</v>
      </c>
      <c r="D100" s="443" t="s">
        <v>406</v>
      </c>
      <c r="E100" s="442" t="s">
        <v>17</v>
      </c>
      <c r="F100" s="442" t="s">
        <v>325</v>
      </c>
      <c r="G100" s="497">
        <v>0.25</v>
      </c>
      <c r="H100" s="448">
        <v>43452</v>
      </c>
      <c r="I100" s="448">
        <v>44547</v>
      </c>
      <c r="J100" s="449">
        <v>20000000</v>
      </c>
      <c r="K100" s="449">
        <f>+SUMIF(ARS!$D:$D,Tabla4[[#This Row],[Emision]],ARS!$G:$G)</f>
        <v>5.6624412536621094E-7</v>
      </c>
      <c r="L100" s="449">
        <f>+SUMIF(USD!$D:$D,Tabla4[[#This Row],[Emision]],USD!$G:$G)</f>
        <v>0</v>
      </c>
      <c r="M100" s="449">
        <f>+Tabla4[[#This Row],[Valor Residual ARS]]*Tabla4[[#This Row],[% GARANTIZADO]]</f>
        <v>1.4156103134155273E-7</v>
      </c>
      <c r="N100" s="449">
        <f>+Tabla4[[#This Row],[Valor Residual USD]]*Tabla4[[#This Row],[% GARANTIZADO]]</f>
        <v>0</v>
      </c>
      <c r="O100" s="490" t="str">
        <f>+IF(Tabla4[[#This Row],[Valor Residual ARS]]&gt;0,CONCATENATE(Tabla4[[#This Row],[Tipo]],""),CONCATENATE(Tabla4[[#This Row],[Tipo]],"vencida"))</f>
        <v>ON Pyme CNV Garantizada</v>
      </c>
      <c r="P100" s="490" t="str">
        <f>+IF(Tabla4[[#This Row],[Valor Residual USD]]&gt;0,CONCATENATE(Tabla4[[#This Row],[Tipo]],""),CONCATENATE(Tabla4[[#This Row],[Tipo]],"vencida"))</f>
        <v>ON Pyme CNV Garantizadavencida</v>
      </c>
    </row>
    <row r="101" spans="1:16" x14ac:dyDescent="0.25">
      <c r="A101" s="441" t="s">
        <v>165</v>
      </c>
      <c r="B101" s="441" t="s">
        <v>469</v>
      </c>
      <c r="C101" s="442" t="s">
        <v>166</v>
      </c>
      <c r="D101" s="443" t="s">
        <v>406</v>
      </c>
      <c r="E101" s="442" t="s">
        <v>17</v>
      </c>
      <c r="F101" s="442" t="s">
        <v>288</v>
      </c>
      <c r="G101" s="497">
        <v>0.25</v>
      </c>
      <c r="H101" s="448">
        <v>43452</v>
      </c>
      <c r="I101" s="448">
        <v>44547</v>
      </c>
      <c r="J101" s="449">
        <v>20000000</v>
      </c>
      <c r="K101" s="449">
        <f>+SUMIF(ARS!$D:$D,Tabla4[[#This Row],[Emision]],ARS!$G:$G)</f>
        <v>5.6624412536621094E-7</v>
      </c>
      <c r="L101" s="449">
        <f>+SUMIF(USD!$D:$D,Tabla4[[#This Row],[Emision]],USD!$G:$G)</f>
        <v>0</v>
      </c>
      <c r="M101" s="449">
        <f>+Tabla4[[#This Row],[Valor Residual ARS]]*Tabla4[[#This Row],[% GARANTIZADO]]</f>
        <v>1.4156103134155273E-7</v>
      </c>
      <c r="N101" s="449">
        <f>+Tabla4[[#This Row],[Valor Residual USD]]*Tabla4[[#This Row],[% GARANTIZADO]]</f>
        <v>0</v>
      </c>
      <c r="O101" s="490" t="str">
        <f>+IF(Tabla4[[#This Row],[Valor Residual ARS]]&gt;0,CONCATENATE(Tabla4[[#This Row],[Tipo]],""),CONCATENATE(Tabla4[[#This Row],[Tipo]],"vencida"))</f>
        <v>ON Pyme CNV Garantizada</v>
      </c>
      <c r="P101" s="490" t="str">
        <f>+IF(Tabla4[[#This Row],[Valor Residual USD]]&gt;0,CONCATENATE(Tabla4[[#This Row],[Tipo]],""),CONCATENATE(Tabla4[[#This Row],[Tipo]],"vencida"))</f>
        <v>ON Pyme CNV Garantizadavencida</v>
      </c>
    </row>
    <row r="102" spans="1:16" x14ac:dyDescent="0.25">
      <c r="A102" s="441" t="s">
        <v>165</v>
      </c>
      <c r="B102" s="441" t="s">
        <v>469</v>
      </c>
      <c r="C102" s="442" t="s">
        <v>166</v>
      </c>
      <c r="D102" s="443" t="s">
        <v>406</v>
      </c>
      <c r="E102" s="442" t="s">
        <v>17</v>
      </c>
      <c r="F102" s="442" t="s">
        <v>303</v>
      </c>
      <c r="G102" s="497">
        <v>0.3</v>
      </c>
      <c r="H102" s="448">
        <v>43452</v>
      </c>
      <c r="I102" s="448">
        <v>44547</v>
      </c>
      <c r="J102" s="449">
        <v>20000000</v>
      </c>
      <c r="K102" s="449">
        <f>+SUMIF(ARS!$D:$D,Tabla4[[#This Row],[Emision]],ARS!$G:$G)</f>
        <v>5.6624412536621094E-7</v>
      </c>
      <c r="L102" s="449">
        <f>+SUMIF(USD!$D:$D,Tabla4[[#This Row],[Emision]],USD!$G:$G)</f>
        <v>0</v>
      </c>
      <c r="M102" s="449">
        <f>+Tabla4[[#This Row],[Valor Residual ARS]]*Tabla4[[#This Row],[% GARANTIZADO]]</f>
        <v>1.6987323760986329E-7</v>
      </c>
      <c r="N102" s="449">
        <f>+Tabla4[[#This Row],[Valor Residual USD]]*Tabla4[[#This Row],[% GARANTIZADO]]</f>
        <v>0</v>
      </c>
      <c r="O102" s="490" t="str">
        <f>+IF(Tabla4[[#This Row],[Valor Residual ARS]]&gt;0,CONCATENATE(Tabla4[[#This Row],[Tipo]],""),CONCATENATE(Tabla4[[#This Row],[Tipo]],"vencida"))</f>
        <v>ON Pyme CNV Garantizada</v>
      </c>
      <c r="P102" s="490" t="str">
        <f>+IF(Tabla4[[#This Row],[Valor Residual USD]]&gt;0,CONCATENATE(Tabla4[[#This Row],[Tipo]],""),CONCATENATE(Tabla4[[#This Row],[Tipo]],"vencida"))</f>
        <v>ON Pyme CNV Garantizadavencida</v>
      </c>
    </row>
    <row r="103" spans="1:16" x14ac:dyDescent="0.25">
      <c r="A103" s="441" t="s">
        <v>165</v>
      </c>
      <c r="B103" s="441" t="s">
        <v>469</v>
      </c>
      <c r="C103" s="442" t="s">
        <v>166</v>
      </c>
      <c r="D103" s="443" t="s">
        <v>406</v>
      </c>
      <c r="E103" s="442" t="s">
        <v>17</v>
      </c>
      <c r="F103" s="444" t="s">
        <v>309</v>
      </c>
      <c r="G103" s="497">
        <v>0.2</v>
      </c>
      <c r="H103" s="448">
        <v>43452</v>
      </c>
      <c r="I103" s="448">
        <v>44547</v>
      </c>
      <c r="J103" s="449">
        <v>20000000</v>
      </c>
      <c r="K103" s="449">
        <f>+SUMIF(ARS!$D:$D,Tabla4[[#This Row],[Emision]],ARS!$G:$G)</f>
        <v>5.6624412536621094E-7</v>
      </c>
      <c r="L103" s="449">
        <f>+SUMIF(USD!$D:$D,Tabla4[[#This Row],[Emision]],USD!$G:$G)</f>
        <v>0</v>
      </c>
      <c r="M103" s="449">
        <f>+Tabla4[[#This Row],[Valor Residual ARS]]*Tabla4[[#This Row],[% GARANTIZADO]]</f>
        <v>1.132488250732422E-7</v>
      </c>
      <c r="N103" s="449">
        <f>+Tabla4[[#This Row],[Valor Residual USD]]*Tabla4[[#This Row],[% GARANTIZADO]]</f>
        <v>0</v>
      </c>
      <c r="O103" s="490" t="str">
        <f>+IF(Tabla4[[#This Row],[Valor Residual ARS]]&gt;0,CONCATENATE(Tabla4[[#This Row],[Tipo]],""),CONCATENATE(Tabla4[[#This Row],[Tipo]],"vencida"))</f>
        <v>ON Pyme CNV Garantizada</v>
      </c>
      <c r="P103" s="490" t="str">
        <f>+IF(Tabla4[[#This Row],[Valor Residual USD]]&gt;0,CONCATENATE(Tabla4[[#This Row],[Tipo]],""),CONCATENATE(Tabla4[[#This Row],[Tipo]],"vencida"))</f>
        <v>ON Pyme CNV Garantizadavencida</v>
      </c>
    </row>
    <row r="104" spans="1:16" x14ac:dyDescent="0.25">
      <c r="A104" s="441" t="s">
        <v>71</v>
      </c>
      <c r="B104" s="441" t="s">
        <v>475</v>
      </c>
      <c r="C104" s="442" t="s">
        <v>70</v>
      </c>
      <c r="D104" s="443" t="s">
        <v>406</v>
      </c>
      <c r="E104" s="442" t="s">
        <v>17</v>
      </c>
      <c r="F104" s="442" t="s">
        <v>309</v>
      </c>
      <c r="G104" s="497">
        <v>0.75</v>
      </c>
      <c r="H104" s="448">
        <v>43460</v>
      </c>
      <c r="I104" s="448">
        <v>44191</v>
      </c>
      <c r="J104" s="449">
        <v>40000000</v>
      </c>
      <c r="K104" s="449">
        <f>+SUMIF(ARS!$D:$D,Tabla4[[#This Row],[Emision]],ARS!$G:$G)</f>
        <v>0</v>
      </c>
      <c r="L104" s="449">
        <f>+SUMIF(USD!$D:$D,Tabla4[[#This Row],[Emision]],USD!$G:$G)</f>
        <v>0</v>
      </c>
      <c r="M104" s="449">
        <f>+Tabla4[[#This Row],[Valor Residual ARS]]*Tabla4[[#This Row],[% GARANTIZADO]]</f>
        <v>0</v>
      </c>
      <c r="N104" s="449">
        <f>+Tabla4[[#This Row],[Valor Residual USD]]*Tabla4[[#This Row],[% GARANTIZADO]]</f>
        <v>0</v>
      </c>
      <c r="O104" s="490" t="str">
        <f>+IF(Tabla4[[#This Row],[Valor Residual ARS]]&gt;0,CONCATENATE(Tabla4[[#This Row],[Tipo]],""),CONCATENATE(Tabla4[[#This Row],[Tipo]],"vencida"))</f>
        <v>ON Pyme CNV Garantizadavencida</v>
      </c>
      <c r="P104" s="490" t="str">
        <f>+IF(Tabla4[[#This Row],[Valor Residual USD]]&gt;0,CONCATENATE(Tabla4[[#This Row],[Tipo]],""),CONCATENATE(Tabla4[[#This Row],[Tipo]],"vencida"))</f>
        <v>ON Pyme CNV Garantizadavencida</v>
      </c>
    </row>
    <row r="105" spans="1:16" x14ac:dyDescent="0.25">
      <c r="A105" s="441" t="s">
        <v>71</v>
      </c>
      <c r="B105" s="441" t="s">
        <v>475</v>
      </c>
      <c r="C105" s="442" t="s">
        <v>70</v>
      </c>
      <c r="D105" s="443" t="s">
        <v>406</v>
      </c>
      <c r="E105" s="442" t="s">
        <v>17</v>
      </c>
      <c r="F105" s="442" t="s">
        <v>325</v>
      </c>
      <c r="G105" s="497">
        <v>0.25</v>
      </c>
      <c r="H105" s="448">
        <v>43460</v>
      </c>
      <c r="I105" s="448">
        <v>44191</v>
      </c>
      <c r="J105" s="449">
        <v>40000000</v>
      </c>
      <c r="K105" s="449">
        <f>+SUMIF(ARS!$D:$D,Tabla4[[#This Row],[Emision]],ARS!$G:$G)</f>
        <v>0</v>
      </c>
      <c r="L105" s="449">
        <f>+SUMIF(USD!$D:$D,Tabla4[[#This Row],[Emision]],USD!$G:$G)</f>
        <v>0</v>
      </c>
      <c r="M105" s="449">
        <f>+Tabla4[[#This Row],[Valor Residual ARS]]*Tabla4[[#This Row],[% GARANTIZADO]]</f>
        <v>0</v>
      </c>
      <c r="N105" s="449">
        <f>+Tabla4[[#This Row],[Valor Residual USD]]*Tabla4[[#This Row],[% GARANTIZADO]]</f>
        <v>0</v>
      </c>
      <c r="O105" s="490" t="str">
        <f>+IF(Tabla4[[#This Row],[Valor Residual ARS]]&gt;0,CONCATENATE(Tabla4[[#This Row],[Tipo]],""),CONCATENATE(Tabla4[[#This Row],[Tipo]],"vencida"))</f>
        <v>ON Pyme CNV Garantizadavencida</v>
      </c>
      <c r="P105" s="490" t="str">
        <f>+IF(Tabla4[[#This Row],[Valor Residual USD]]&gt;0,CONCATENATE(Tabla4[[#This Row],[Tipo]],""),CONCATENATE(Tabla4[[#This Row],[Tipo]],"vencida"))</f>
        <v>ON Pyme CNV Garantizadavencida</v>
      </c>
    </row>
    <row r="106" spans="1:16" x14ac:dyDescent="0.25">
      <c r="A106" s="441" t="s">
        <v>253</v>
      </c>
      <c r="B106" s="441" t="s">
        <v>492</v>
      </c>
      <c r="C106" s="442" t="s">
        <v>200</v>
      </c>
      <c r="D106" s="443" t="s">
        <v>407</v>
      </c>
      <c r="E106" s="442" t="s">
        <v>17</v>
      </c>
      <c r="F106" s="442" t="s">
        <v>309</v>
      </c>
      <c r="G106" s="497">
        <v>1</v>
      </c>
      <c r="H106" s="448">
        <v>43559</v>
      </c>
      <c r="I106" s="448">
        <v>44655</v>
      </c>
      <c r="J106" s="449">
        <v>150000</v>
      </c>
      <c r="K106" s="449">
        <f>+SUMIF(ARS!$D:$D,Tabla4[[#This Row],[Emision]],ARS!$G:$G)</f>
        <v>0</v>
      </c>
      <c r="L106" s="449">
        <f>+SUMIF(USD!$D:$D,Tabla4[[#This Row],[Emision]],USD!$G:$G)</f>
        <v>0</v>
      </c>
      <c r="M106" s="449">
        <f>+Tabla4[[#This Row],[Valor Residual ARS]]*Tabla4[[#This Row],[% GARANTIZADO]]</f>
        <v>0</v>
      </c>
      <c r="N106" s="449">
        <f>+Tabla4[[#This Row],[Valor Residual USD]]*Tabla4[[#This Row],[% GARANTIZADO]]</f>
        <v>0</v>
      </c>
      <c r="O106" s="490" t="str">
        <f>+IF(Tabla4[[#This Row],[Valor Residual ARS]]&gt;0,CONCATENATE(Tabla4[[#This Row],[Tipo]],""),CONCATENATE(Tabla4[[#This Row],[Tipo]],"vencida"))</f>
        <v>ON Pyme CNV Garantizadavencida</v>
      </c>
      <c r="P106" s="490" t="str">
        <f>+IF(Tabla4[[#This Row],[Valor Residual USD]]&gt;0,CONCATENATE(Tabla4[[#This Row],[Tipo]],""),CONCATENATE(Tabla4[[#This Row],[Tipo]],"vencida"))</f>
        <v>ON Pyme CNV Garantizadavencida</v>
      </c>
    </row>
    <row r="107" spans="1:16" x14ac:dyDescent="0.25">
      <c r="A107" s="441" t="s">
        <v>255</v>
      </c>
      <c r="B107" s="441" t="s">
        <v>473</v>
      </c>
      <c r="C107" s="442" t="s">
        <v>201</v>
      </c>
      <c r="D107" s="443" t="s">
        <v>407</v>
      </c>
      <c r="E107" s="442" t="s">
        <v>17</v>
      </c>
      <c r="F107" s="442" t="s">
        <v>301</v>
      </c>
      <c r="G107" s="497">
        <v>1</v>
      </c>
      <c r="H107" s="448">
        <v>43140</v>
      </c>
      <c r="I107" s="448">
        <v>44236</v>
      </c>
      <c r="J107" s="449">
        <v>350000</v>
      </c>
      <c r="K107" s="449">
        <f>+SUMIF(ARS!$D:$D,Tabla4[[#This Row],[Emision]],ARS!$G:$G)</f>
        <v>0</v>
      </c>
      <c r="L107" s="449">
        <f>+SUMIF(USD!$D:$D,Tabla4[[#This Row],[Emision]],USD!$G:$G)</f>
        <v>0</v>
      </c>
      <c r="M107" s="449">
        <f>+Tabla4[[#This Row],[Valor Residual ARS]]*Tabla4[[#This Row],[% GARANTIZADO]]</f>
        <v>0</v>
      </c>
      <c r="N107" s="449">
        <f>+Tabla4[[#This Row],[Valor Residual USD]]*Tabla4[[#This Row],[% GARANTIZADO]]</f>
        <v>0</v>
      </c>
      <c r="O107" s="490" t="str">
        <f>+IF(Tabla4[[#This Row],[Valor Residual ARS]]&gt;0,CONCATENATE(Tabla4[[#This Row],[Tipo]],""),CONCATENATE(Tabla4[[#This Row],[Tipo]],"vencida"))</f>
        <v>ON Pyme CNV Garantizadavencida</v>
      </c>
      <c r="P107" s="490" t="str">
        <f>+IF(Tabla4[[#This Row],[Valor Residual USD]]&gt;0,CONCATENATE(Tabla4[[#This Row],[Tipo]],""),CONCATENATE(Tabla4[[#This Row],[Tipo]],"vencida"))</f>
        <v>ON Pyme CNV Garantizadavencida</v>
      </c>
    </row>
    <row r="108" spans="1:16" x14ac:dyDescent="0.25">
      <c r="A108" s="441" t="s">
        <v>255</v>
      </c>
      <c r="B108" s="441" t="s">
        <v>473</v>
      </c>
      <c r="C108" s="442" t="s">
        <v>202</v>
      </c>
      <c r="D108" s="443" t="s">
        <v>407</v>
      </c>
      <c r="E108" s="442" t="s">
        <v>17</v>
      </c>
      <c r="F108" s="442" t="s">
        <v>325</v>
      </c>
      <c r="G108" s="497">
        <v>0.28410000000000002</v>
      </c>
      <c r="H108" s="448">
        <v>43168</v>
      </c>
      <c r="I108" s="448">
        <v>44264</v>
      </c>
      <c r="J108" s="449">
        <v>880000</v>
      </c>
      <c r="K108" s="449">
        <f>+SUMIF(ARS!$D:$D,Tabla4[[#This Row],[Emision]],ARS!$G:$G)</f>
        <v>0</v>
      </c>
      <c r="L108" s="449">
        <f>+SUMIF(USD!$D:$D,Tabla4[[#This Row],[Emision]],USD!$G:$G)</f>
        <v>0</v>
      </c>
      <c r="M108" s="449">
        <f>+Tabla4[[#This Row],[Valor Residual ARS]]*Tabla4[[#This Row],[% GARANTIZADO]]</f>
        <v>0</v>
      </c>
      <c r="N108" s="449">
        <f>+Tabla4[[#This Row],[Valor Residual USD]]*Tabla4[[#This Row],[% GARANTIZADO]]</f>
        <v>0</v>
      </c>
      <c r="O108" s="490" t="str">
        <f>+IF(Tabla4[[#This Row],[Valor Residual ARS]]&gt;0,CONCATENATE(Tabla4[[#This Row],[Tipo]],""),CONCATENATE(Tabla4[[#This Row],[Tipo]],"vencida"))</f>
        <v>ON Pyme CNV Garantizadavencida</v>
      </c>
      <c r="P108" s="490" t="str">
        <f>+IF(Tabla4[[#This Row],[Valor Residual USD]]&gt;0,CONCATENATE(Tabla4[[#This Row],[Tipo]],""),CONCATENATE(Tabla4[[#This Row],[Tipo]],"vencida"))</f>
        <v>ON Pyme CNV Garantizadavencida</v>
      </c>
    </row>
    <row r="109" spans="1:16" x14ac:dyDescent="0.25">
      <c r="A109" s="441" t="s">
        <v>255</v>
      </c>
      <c r="B109" s="441" t="s">
        <v>473</v>
      </c>
      <c r="C109" s="442" t="s">
        <v>202</v>
      </c>
      <c r="D109" s="443" t="s">
        <v>407</v>
      </c>
      <c r="E109" s="442" t="s">
        <v>17</v>
      </c>
      <c r="F109" s="444" t="s">
        <v>287</v>
      </c>
      <c r="G109" s="497">
        <v>0.3977</v>
      </c>
      <c r="H109" s="448">
        <v>43168</v>
      </c>
      <c r="I109" s="448">
        <v>44264</v>
      </c>
      <c r="J109" s="449">
        <v>880000</v>
      </c>
      <c r="K109" s="449">
        <f>+SUMIF(ARS!$D:$D,Tabla4[[#This Row],[Emision]],ARS!$G:$G)</f>
        <v>0</v>
      </c>
      <c r="L109" s="449">
        <f>+SUMIF(USD!$D:$D,Tabla4[[#This Row],[Emision]],USD!$G:$G)</f>
        <v>0</v>
      </c>
      <c r="M109" s="449">
        <f>+Tabla4[[#This Row],[Valor Residual ARS]]*Tabla4[[#This Row],[% GARANTIZADO]]</f>
        <v>0</v>
      </c>
      <c r="N109" s="449">
        <f>+Tabla4[[#This Row],[Valor Residual USD]]*Tabla4[[#This Row],[% GARANTIZADO]]</f>
        <v>0</v>
      </c>
      <c r="O109" s="490" t="str">
        <f>+IF(Tabla4[[#This Row],[Valor Residual ARS]]&gt;0,CONCATENATE(Tabla4[[#This Row],[Tipo]],""),CONCATENATE(Tabla4[[#This Row],[Tipo]],"vencida"))</f>
        <v>ON Pyme CNV Garantizadavencida</v>
      </c>
      <c r="P109" s="490" t="str">
        <f>+IF(Tabla4[[#This Row],[Valor Residual USD]]&gt;0,CONCATENATE(Tabla4[[#This Row],[Tipo]],""),CONCATENATE(Tabla4[[#This Row],[Tipo]],"vencida"))</f>
        <v>ON Pyme CNV Garantizadavencida</v>
      </c>
    </row>
    <row r="110" spans="1:16" x14ac:dyDescent="0.25">
      <c r="A110" s="441" t="s">
        <v>255</v>
      </c>
      <c r="B110" s="441" t="s">
        <v>473</v>
      </c>
      <c r="C110" s="442" t="s">
        <v>202</v>
      </c>
      <c r="D110" s="443" t="s">
        <v>407</v>
      </c>
      <c r="E110" s="442" t="s">
        <v>17</v>
      </c>
      <c r="F110" s="442" t="s">
        <v>297</v>
      </c>
      <c r="G110" s="497">
        <v>0.31819999999999998</v>
      </c>
      <c r="H110" s="448">
        <v>43168</v>
      </c>
      <c r="I110" s="448">
        <v>44264</v>
      </c>
      <c r="J110" s="449">
        <v>880000</v>
      </c>
      <c r="K110" s="449">
        <f>+SUMIF(ARS!$D:$D,Tabla4[[#This Row],[Emision]],ARS!$G:$G)</f>
        <v>0</v>
      </c>
      <c r="L110" s="449">
        <f>+SUMIF(USD!$D:$D,Tabla4[[#This Row],[Emision]],USD!$G:$G)</f>
        <v>0</v>
      </c>
      <c r="M110" s="449">
        <f>+Tabla4[[#This Row],[Valor Residual ARS]]*Tabla4[[#This Row],[% GARANTIZADO]]</f>
        <v>0</v>
      </c>
      <c r="N110" s="449">
        <f>+Tabla4[[#This Row],[Valor Residual USD]]*Tabla4[[#This Row],[% GARANTIZADO]]</f>
        <v>0</v>
      </c>
      <c r="O110" s="490" t="str">
        <f>+IF(Tabla4[[#This Row],[Valor Residual ARS]]&gt;0,CONCATENATE(Tabla4[[#This Row],[Tipo]],""),CONCATENATE(Tabla4[[#This Row],[Tipo]],"vencida"))</f>
        <v>ON Pyme CNV Garantizadavencida</v>
      </c>
      <c r="P110" s="490" t="str">
        <f>+IF(Tabla4[[#This Row],[Valor Residual USD]]&gt;0,CONCATENATE(Tabla4[[#This Row],[Tipo]],""),CONCATENATE(Tabla4[[#This Row],[Tipo]],"vencida"))</f>
        <v>ON Pyme CNV Garantizadavencida</v>
      </c>
    </row>
    <row r="111" spans="1:16" x14ac:dyDescent="0.25">
      <c r="A111" s="441" t="s">
        <v>258</v>
      </c>
      <c r="B111" s="441" t="s">
        <v>493</v>
      </c>
      <c r="C111" s="442" t="s">
        <v>205</v>
      </c>
      <c r="D111" s="443" t="s">
        <v>407</v>
      </c>
      <c r="E111" s="442" t="s">
        <v>17</v>
      </c>
      <c r="F111" s="442" t="s">
        <v>309</v>
      </c>
      <c r="G111" s="497">
        <v>1</v>
      </c>
      <c r="H111" s="448">
        <v>43424</v>
      </c>
      <c r="I111" s="448">
        <v>44520</v>
      </c>
      <c r="J111" s="449">
        <v>150000</v>
      </c>
      <c r="K111" s="449">
        <f>+SUMIF(ARS!$D:$D,Tabla4[[#This Row],[Emision]],ARS!$G:$G)</f>
        <v>0</v>
      </c>
      <c r="L111" s="449">
        <f>+SUMIF(USD!$D:$D,Tabla4[[#This Row],[Emision]],USD!$G:$G)</f>
        <v>0</v>
      </c>
      <c r="M111" s="449">
        <f>+Tabla4[[#This Row],[Valor Residual ARS]]*Tabla4[[#This Row],[% GARANTIZADO]]</f>
        <v>0</v>
      </c>
      <c r="N111" s="449">
        <f>+Tabla4[[#This Row],[Valor Residual USD]]*Tabla4[[#This Row],[% GARANTIZADO]]</f>
        <v>0</v>
      </c>
      <c r="O111" s="490" t="str">
        <f>+IF(Tabla4[[#This Row],[Valor Residual ARS]]&gt;0,CONCATENATE(Tabla4[[#This Row],[Tipo]],""),CONCATENATE(Tabla4[[#This Row],[Tipo]],"vencida"))</f>
        <v>ON Pyme CNV Garantizadavencida</v>
      </c>
      <c r="P111" s="490" t="str">
        <f>+IF(Tabla4[[#This Row],[Valor Residual USD]]&gt;0,CONCATENATE(Tabla4[[#This Row],[Tipo]],""),CONCATENATE(Tabla4[[#This Row],[Tipo]],"vencida"))</f>
        <v>ON Pyme CNV Garantizadavencida</v>
      </c>
    </row>
    <row r="112" spans="1:16" x14ac:dyDescent="0.25">
      <c r="A112" s="441" t="s">
        <v>168</v>
      </c>
      <c r="B112" s="441" t="s">
        <v>472</v>
      </c>
      <c r="C112" s="442" t="s">
        <v>167</v>
      </c>
      <c r="D112" s="443" t="s">
        <v>406</v>
      </c>
      <c r="E112" s="442" t="s">
        <v>17</v>
      </c>
      <c r="F112" s="444" t="s">
        <v>325</v>
      </c>
      <c r="G112" s="497">
        <v>0.1</v>
      </c>
      <c r="H112" s="448">
        <v>43649</v>
      </c>
      <c r="I112" s="448">
        <v>44380</v>
      </c>
      <c r="J112" s="449">
        <v>30000000</v>
      </c>
      <c r="K112" s="449">
        <f>+SUMIF(ARS!$D:$D,Tabla4[[#This Row],[Emision]],ARS!$G:$G)</f>
        <v>0</v>
      </c>
      <c r="L112" s="449">
        <f>+SUMIF(USD!$D:$D,Tabla4[[#This Row],[Emision]],USD!$G:$G)</f>
        <v>0</v>
      </c>
      <c r="M112" s="449">
        <f>+Tabla4[[#This Row],[Valor Residual ARS]]*Tabla4[[#This Row],[% GARANTIZADO]]</f>
        <v>0</v>
      </c>
      <c r="N112" s="449">
        <f>+Tabla4[[#This Row],[Valor Residual USD]]*Tabla4[[#This Row],[% GARANTIZADO]]</f>
        <v>0</v>
      </c>
      <c r="O112" s="490" t="str">
        <f>+IF(Tabla4[[#This Row],[Valor Residual ARS]]&gt;0,CONCATENATE(Tabla4[[#This Row],[Tipo]],""),CONCATENATE(Tabla4[[#This Row],[Tipo]],"vencida"))</f>
        <v>ON Pyme CNV Garantizadavencida</v>
      </c>
      <c r="P112" s="490" t="str">
        <f>+IF(Tabla4[[#This Row],[Valor Residual USD]]&gt;0,CONCATENATE(Tabla4[[#This Row],[Tipo]],""),CONCATENATE(Tabla4[[#This Row],[Tipo]],"vencida"))</f>
        <v>ON Pyme CNV Garantizadavencida</v>
      </c>
    </row>
    <row r="113" spans="1:16" x14ac:dyDescent="0.25">
      <c r="A113" s="441" t="s">
        <v>168</v>
      </c>
      <c r="B113" s="441" t="s">
        <v>472</v>
      </c>
      <c r="C113" s="442" t="s">
        <v>167</v>
      </c>
      <c r="D113" s="443" t="s">
        <v>406</v>
      </c>
      <c r="E113" s="442" t="s">
        <v>17</v>
      </c>
      <c r="F113" s="442" t="s">
        <v>297</v>
      </c>
      <c r="G113" s="497">
        <v>0.2</v>
      </c>
      <c r="H113" s="448">
        <v>43649</v>
      </c>
      <c r="I113" s="448">
        <v>44380</v>
      </c>
      <c r="J113" s="449">
        <v>30000000</v>
      </c>
      <c r="K113" s="449">
        <f>+SUMIF(ARS!$D:$D,Tabla4[[#This Row],[Emision]],ARS!$G:$G)</f>
        <v>0</v>
      </c>
      <c r="L113" s="449">
        <f>+SUMIF(USD!$D:$D,Tabla4[[#This Row],[Emision]],USD!$G:$G)</f>
        <v>0</v>
      </c>
      <c r="M113" s="449">
        <f>+Tabla4[[#This Row],[Valor Residual ARS]]*Tabla4[[#This Row],[% GARANTIZADO]]</f>
        <v>0</v>
      </c>
      <c r="N113" s="449">
        <f>+Tabla4[[#This Row],[Valor Residual USD]]*Tabla4[[#This Row],[% GARANTIZADO]]</f>
        <v>0</v>
      </c>
      <c r="O113" s="490" t="str">
        <f>+IF(Tabla4[[#This Row],[Valor Residual ARS]]&gt;0,CONCATENATE(Tabla4[[#This Row],[Tipo]],""),CONCATENATE(Tabla4[[#This Row],[Tipo]],"vencida"))</f>
        <v>ON Pyme CNV Garantizadavencida</v>
      </c>
      <c r="P113" s="490" t="str">
        <f>+IF(Tabla4[[#This Row],[Valor Residual USD]]&gt;0,CONCATENATE(Tabla4[[#This Row],[Tipo]],""),CONCATENATE(Tabla4[[#This Row],[Tipo]],"vencida"))</f>
        <v>ON Pyme CNV Garantizadavencida</v>
      </c>
    </row>
    <row r="114" spans="1:16" x14ac:dyDescent="0.25">
      <c r="A114" s="441" t="s">
        <v>168</v>
      </c>
      <c r="B114" s="441" t="s">
        <v>472</v>
      </c>
      <c r="C114" s="442" t="s">
        <v>167</v>
      </c>
      <c r="D114" s="443" t="s">
        <v>406</v>
      </c>
      <c r="E114" s="442" t="s">
        <v>17</v>
      </c>
      <c r="F114" s="442" t="s">
        <v>318</v>
      </c>
      <c r="G114" s="497">
        <v>0.2</v>
      </c>
      <c r="H114" s="448">
        <v>43649</v>
      </c>
      <c r="I114" s="448">
        <v>44380</v>
      </c>
      <c r="J114" s="449">
        <v>30000000</v>
      </c>
      <c r="K114" s="449">
        <f>+SUMIF(ARS!$D:$D,Tabla4[[#This Row],[Emision]],ARS!$G:$G)</f>
        <v>0</v>
      </c>
      <c r="L114" s="449">
        <f>+SUMIF(USD!$D:$D,Tabla4[[#This Row],[Emision]],USD!$G:$G)</f>
        <v>0</v>
      </c>
      <c r="M114" s="449">
        <f>+Tabla4[[#This Row],[Valor Residual ARS]]*Tabla4[[#This Row],[% GARANTIZADO]]</f>
        <v>0</v>
      </c>
      <c r="N114" s="449">
        <f>+Tabla4[[#This Row],[Valor Residual USD]]*Tabla4[[#This Row],[% GARANTIZADO]]</f>
        <v>0</v>
      </c>
      <c r="O114" s="490" t="str">
        <f>+IF(Tabla4[[#This Row],[Valor Residual ARS]]&gt;0,CONCATENATE(Tabla4[[#This Row],[Tipo]],""),CONCATENATE(Tabla4[[#This Row],[Tipo]],"vencida"))</f>
        <v>ON Pyme CNV Garantizadavencida</v>
      </c>
      <c r="P114" s="490" t="str">
        <f>+IF(Tabla4[[#This Row],[Valor Residual USD]]&gt;0,CONCATENATE(Tabla4[[#This Row],[Tipo]],""),CONCATENATE(Tabla4[[#This Row],[Tipo]],"vencida"))</f>
        <v>ON Pyme CNV Garantizadavencida</v>
      </c>
    </row>
    <row r="115" spans="1:16" x14ac:dyDescent="0.25">
      <c r="A115" s="441" t="s">
        <v>168</v>
      </c>
      <c r="B115" s="441" t="s">
        <v>472</v>
      </c>
      <c r="C115" s="442" t="s">
        <v>167</v>
      </c>
      <c r="D115" s="443" t="s">
        <v>406</v>
      </c>
      <c r="E115" s="442" t="s">
        <v>17</v>
      </c>
      <c r="F115" s="442" t="s">
        <v>309</v>
      </c>
      <c r="G115" s="497">
        <v>0.2</v>
      </c>
      <c r="H115" s="448">
        <v>43649</v>
      </c>
      <c r="I115" s="448">
        <v>44380</v>
      </c>
      <c r="J115" s="449">
        <v>30000000</v>
      </c>
      <c r="K115" s="449">
        <f>+SUMIF(ARS!$D:$D,Tabla4[[#This Row],[Emision]],ARS!$G:$G)</f>
        <v>0</v>
      </c>
      <c r="L115" s="449">
        <f>+SUMIF(USD!$D:$D,Tabla4[[#This Row],[Emision]],USD!$G:$G)</f>
        <v>0</v>
      </c>
      <c r="M115" s="449">
        <f>+Tabla4[[#This Row],[Valor Residual ARS]]*Tabla4[[#This Row],[% GARANTIZADO]]</f>
        <v>0</v>
      </c>
      <c r="N115" s="449">
        <f>+Tabla4[[#This Row],[Valor Residual USD]]*Tabla4[[#This Row],[% GARANTIZADO]]</f>
        <v>0</v>
      </c>
      <c r="O115" s="490" t="str">
        <f>+IF(Tabla4[[#This Row],[Valor Residual ARS]]&gt;0,CONCATENATE(Tabla4[[#This Row],[Tipo]],""),CONCATENATE(Tabla4[[#This Row],[Tipo]],"vencida"))</f>
        <v>ON Pyme CNV Garantizadavencida</v>
      </c>
      <c r="P115" s="490" t="str">
        <f>+IF(Tabla4[[#This Row],[Valor Residual USD]]&gt;0,CONCATENATE(Tabla4[[#This Row],[Tipo]],""),CONCATENATE(Tabla4[[#This Row],[Tipo]],"vencida"))</f>
        <v>ON Pyme CNV Garantizadavencida</v>
      </c>
    </row>
    <row r="116" spans="1:16" x14ac:dyDescent="0.25">
      <c r="A116" s="441" t="s">
        <v>168</v>
      </c>
      <c r="B116" s="441" t="s">
        <v>472</v>
      </c>
      <c r="C116" s="442" t="s">
        <v>167</v>
      </c>
      <c r="D116" s="443" t="s">
        <v>406</v>
      </c>
      <c r="E116" s="442" t="s">
        <v>17</v>
      </c>
      <c r="F116" s="442" t="s">
        <v>308</v>
      </c>
      <c r="G116" s="497">
        <v>0.3</v>
      </c>
      <c r="H116" s="448">
        <v>43649</v>
      </c>
      <c r="I116" s="448">
        <v>44380</v>
      </c>
      <c r="J116" s="449">
        <v>30000000</v>
      </c>
      <c r="K116" s="449">
        <f>+SUMIF(ARS!$D:$D,Tabla4[[#This Row],[Emision]],ARS!$G:$G)</f>
        <v>0</v>
      </c>
      <c r="L116" s="449">
        <f>+SUMIF(USD!$D:$D,Tabla4[[#This Row],[Emision]],USD!$G:$G)</f>
        <v>0</v>
      </c>
      <c r="M116" s="449">
        <f>+Tabla4[[#This Row],[Valor Residual ARS]]*Tabla4[[#This Row],[% GARANTIZADO]]</f>
        <v>0</v>
      </c>
      <c r="N116" s="449">
        <f>+Tabla4[[#This Row],[Valor Residual USD]]*Tabla4[[#This Row],[% GARANTIZADO]]</f>
        <v>0</v>
      </c>
      <c r="O116" s="490" t="str">
        <f>+IF(Tabla4[[#This Row],[Valor Residual ARS]]&gt;0,CONCATENATE(Tabla4[[#This Row],[Tipo]],""),CONCATENATE(Tabla4[[#This Row],[Tipo]],"vencida"))</f>
        <v>ON Pyme CNV Garantizadavencida</v>
      </c>
      <c r="P116" s="490" t="str">
        <f>+IF(Tabla4[[#This Row],[Valor Residual USD]]&gt;0,CONCATENATE(Tabla4[[#This Row],[Tipo]],""),CONCATENATE(Tabla4[[#This Row],[Tipo]],"vencida"))</f>
        <v>ON Pyme CNV Garantizadavencida</v>
      </c>
    </row>
    <row r="117" spans="1:16" x14ac:dyDescent="0.25">
      <c r="A117" s="441" t="s">
        <v>257</v>
      </c>
      <c r="B117" s="441" t="s">
        <v>438</v>
      </c>
      <c r="C117" s="442" t="s">
        <v>203</v>
      </c>
      <c r="D117" s="443" t="s">
        <v>407</v>
      </c>
      <c r="E117" s="442" t="s">
        <v>17</v>
      </c>
      <c r="F117" s="442" t="s">
        <v>309</v>
      </c>
      <c r="G117" s="497">
        <v>1</v>
      </c>
      <c r="H117" s="448">
        <v>43301</v>
      </c>
      <c r="I117" s="448">
        <v>44397</v>
      </c>
      <c r="J117" s="449">
        <v>200000</v>
      </c>
      <c r="K117" s="449">
        <f>+SUMIF(ARS!$D:$D,Tabla4[[#This Row],[Emision]],ARS!$G:$G)</f>
        <v>0</v>
      </c>
      <c r="L117" s="449">
        <f>+SUMIF(USD!$D:$D,Tabla4[[#This Row],[Emision]],USD!$G:$G)</f>
        <v>0</v>
      </c>
      <c r="M117" s="449">
        <f>+Tabla4[[#This Row],[Valor Residual ARS]]*Tabla4[[#This Row],[% GARANTIZADO]]</f>
        <v>0</v>
      </c>
      <c r="N117" s="449">
        <f>+Tabla4[[#This Row],[Valor Residual USD]]*Tabla4[[#This Row],[% GARANTIZADO]]</f>
        <v>0</v>
      </c>
      <c r="O117" s="490" t="str">
        <f>+IF(Tabla4[[#This Row],[Valor Residual ARS]]&gt;0,CONCATENATE(Tabla4[[#This Row],[Tipo]],""),CONCATENATE(Tabla4[[#This Row],[Tipo]],"vencida"))</f>
        <v>ON Pyme CNV Garantizadavencida</v>
      </c>
      <c r="P117" s="490" t="str">
        <f>+IF(Tabla4[[#This Row],[Valor Residual USD]]&gt;0,CONCATENATE(Tabla4[[#This Row],[Tipo]],""),CONCATENATE(Tabla4[[#This Row],[Tipo]],"vencida"))</f>
        <v>ON Pyme CNV Garantizadavencida</v>
      </c>
    </row>
    <row r="118" spans="1:16" x14ac:dyDescent="0.25">
      <c r="A118" s="441" t="s">
        <v>257</v>
      </c>
      <c r="B118" s="441" t="s">
        <v>438</v>
      </c>
      <c r="C118" s="442" t="s">
        <v>204</v>
      </c>
      <c r="D118" s="443" t="s">
        <v>407</v>
      </c>
      <c r="E118" s="442" t="s">
        <v>17</v>
      </c>
      <c r="F118" s="442" t="s">
        <v>325</v>
      </c>
      <c r="G118" s="497">
        <v>1</v>
      </c>
      <c r="H118" s="448">
        <v>43411</v>
      </c>
      <c r="I118" s="448">
        <v>44872</v>
      </c>
      <c r="J118" s="449">
        <v>200000</v>
      </c>
      <c r="K118" s="449">
        <f>+SUMIF(ARS!$D:$D,Tabla4[[#This Row],[Emision]],ARS!$G:$G)</f>
        <v>0</v>
      </c>
      <c r="L118" s="449">
        <f>+SUMIF(USD!$D:$D,Tabla4[[#This Row],[Emision]],USD!$G:$G)</f>
        <v>0</v>
      </c>
      <c r="M118" s="449">
        <f>+Tabla4[[#This Row],[Valor Residual ARS]]*Tabla4[[#This Row],[% GARANTIZADO]]</f>
        <v>0</v>
      </c>
      <c r="N118" s="449">
        <f>+Tabla4[[#This Row],[Valor Residual USD]]*Tabla4[[#This Row],[% GARANTIZADO]]</f>
        <v>0</v>
      </c>
      <c r="O118" s="490" t="str">
        <f>+IF(Tabla4[[#This Row],[Valor Residual ARS]]&gt;0,CONCATENATE(Tabla4[[#This Row],[Tipo]],""),CONCATENATE(Tabla4[[#This Row],[Tipo]],"vencida"))</f>
        <v>ON Pyme CNV Garantizadavencida</v>
      </c>
      <c r="P118" s="490" t="str">
        <f>+IF(Tabla4[[#This Row],[Valor Residual USD]]&gt;0,CONCATENATE(Tabla4[[#This Row],[Tipo]],""),CONCATENATE(Tabla4[[#This Row],[Tipo]],"vencida"))</f>
        <v>ON Pyme CNV Garantizadavencida</v>
      </c>
    </row>
    <row r="119" spans="1:16" x14ac:dyDescent="0.25">
      <c r="A119" s="441" t="s">
        <v>259</v>
      </c>
      <c r="B119" s="441" t="s">
        <v>494</v>
      </c>
      <c r="C119" s="442" t="s">
        <v>206</v>
      </c>
      <c r="D119" s="443" t="s">
        <v>407</v>
      </c>
      <c r="E119" s="442" t="s">
        <v>17</v>
      </c>
      <c r="F119" s="442" t="s">
        <v>309</v>
      </c>
      <c r="G119" s="497">
        <v>1</v>
      </c>
      <c r="H119" s="448">
        <v>43455</v>
      </c>
      <c r="I119" s="448">
        <v>44186</v>
      </c>
      <c r="J119" s="449">
        <v>170000</v>
      </c>
      <c r="K119" s="449">
        <f>+SUMIF(ARS!$D:$D,Tabla4[[#This Row],[Emision]],ARS!$G:$G)</f>
        <v>0</v>
      </c>
      <c r="L119" s="449">
        <f>+SUMIF(USD!$D:$D,Tabla4[[#This Row],[Emision]],USD!$G:$G)</f>
        <v>0</v>
      </c>
      <c r="M119" s="449">
        <f>+Tabla4[[#This Row],[Valor Residual ARS]]*Tabla4[[#This Row],[% GARANTIZADO]]</f>
        <v>0</v>
      </c>
      <c r="N119" s="449">
        <f>+Tabla4[[#This Row],[Valor Residual USD]]*Tabla4[[#This Row],[% GARANTIZADO]]</f>
        <v>0</v>
      </c>
      <c r="O119" s="490" t="str">
        <f>+IF(Tabla4[[#This Row],[Valor Residual ARS]]&gt;0,CONCATENATE(Tabla4[[#This Row],[Tipo]],""),CONCATENATE(Tabla4[[#This Row],[Tipo]],"vencida"))</f>
        <v>ON Pyme CNV Garantizadavencida</v>
      </c>
      <c r="P119" s="490" t="str">
        <f>+IF(Tabla4[[#This Row],[Valor Residual USD]]&gt;0,CONCATENATE(Tabla4[[#This Row],[Tipo]],""),CONCATENATE(Tabla4[[#This Row],[Tipo]],"vencida"))</f>
        <v>ON Pyme CNV Garantizadavencida</v>
      </c>
    </row>
    <row r="120" spans="1:16" x14ac:dyDescent="0.25">
      <c r="A120" s="441" t="s">
        <v>398</v>
      </c>
      <c r="B120" s="441" t="s">
        <v>439</v>
      </c>
      <c r="C120" s="442" t="s">
        <v>397</v>
      </c>
      <c r="D120" s="443" t="s">
        <v>406</v>
      </c>
      <c r="E120" s="442" t="s">
        <v>17</v>
      </c>
      <c r="F120" s="442" t="s">
        <v>311</v>
      </c>
      <c r="G120" s="497">
        <v>0.5</v>
      </c>
      <c r="H120" s="448">
        <v>44491</v>
      </c>
      <c r="I120" s="448">
        <v>45344</v>
      </c>
      <c r="J120" s="449">
        <v>30000000</v>
      </c>
      <c r="K120" s="449">
        <f>+SUMIF(ARS!$D:$D,Tabla4[[#This Row],[Emision]],ARS!$G:$G)</f>
        <v>0</v>
      </c>
      <c r="L120" s="449">
        <f>+SUMIF(USD!$D:$D,Tabla4[[#This Row],[Emision]],USD!$G:$G)</f>
        <v>0</v>
      </c>
      <c r="M120" s="449">
        <f>+Tabla4[[#This Row],[Valor Residual ARS]]*Tabla4[[#This Row],[% GARANTIZADO]]</f>
        <v>0</v>
      </c>
      <c r="N120" s="449">
        <f>+Tabla4[[#This Row],[Valor Residual USD]]*Tabla4[[#This Row],[% GARANTIZADO]]</f>
        <v>0</v>
      </c>
      <c r="O120" s="490" t="str">
        <f>+IF(Tabla4[[#This Row],[Valor Residual ARS]]&gt;0,CONCATENATE(Tabla4[[#This Row],[Tipo]],""),CONCATENATE(Tabla4[[#This Row],[Tipo]],"vencida"))</f>
        <v>ON Pyme CNV Garantizadavencida</v>
      </c>
      <c r="P120" s="490" t="str">
        <f>+IF(Tabla4[[#This Row],[Valor Residual USD]]&gt;0,CONCATENATE(Tabla4[[#This Row],[Tipo]],""),CONCATENATE(Tabla4[[#This Row],[Tipo]],"vencida"))</f>
        <v>ON Pyme CNV Garantizadavencida</v>
      </c>
    </row>
    <row r="121" spans="1:16" x14ac:dyDescent="0.25">
      <c r="A121" s="441" t="s">
        <v>398</v>
      </c>
      <c r="B121" s="441" t="s">
        <v>439</v>
      </c>
      <c r="C121" s="442" t="s">
        <v>397</v>
      </c>
      <c r="D121" s="443" t="s">
        <v>406</v>
      </c>
      <c r="E121" s="442" t="s">
        <v>17</v>
      </c>
      <c r="F121" s="442" t="s">
        <v>293</v>
      </c>
      <c r="G121" s="497">
        <v>0.5</v>
      </c>
      <c r="H121" s="448">
        <v>44491</v>
      </c>
      <c r="I121" s="448">
        <v>45344</v>
      </c>
      <c r="J121" s="449">
        <v>30000000</v>
      </c>
      <c r="K121" s="449">
        <f>+SUMIF(ARS!$D:$D,Tabla4[[#This Row],[Emision]],ARS!$G:$G)</f>
        <v>0</v>
      </c>
      <c r="L121" s="449">
        <f>+SUMIF(USD!$D:$D,Tabla4[[#This Row],[Emision]],USD!$G:$G)</f>
        <v>0</v>
      </c>
      <c r="M121" s="449">
        <f>+Tabla4[[#This Row],[Valor Residual ARS]]*Tabla4[[#This Row],[% GARANTIZADO]]</f>
        <v>0</v>
      </c>
      <c r="N121" s="449">
        <f>+Tabla4[[#This Row],[Valor Residual USD]]*Tabla4[[#This Row],[% GARANTIZADO]]</f>
        <v>0</v>
      </c>
      <c r="O121" s="490" t="str">
        <f>+IF(Tabla4[[#This Row],[Valor Residual ARS]]&gt;0,CONCATENATE(Tabla4[[#This Row],[Tipo]],""),CONCATENATE(Tabla4[[#This Row],[Tipo]],"vencida"))</f>
        <v>ON Pyme CNV Garantizadavencida</v>
      </c>
      <c r="P121" s="490" t="str">
        <f>+IF(Tabla4[[#This Row],[Valor Residual USD]]&gt;0,CONCATENATE(Tabla4[[#This Row],[Tipo]],""),CONCATENATE(Tabla4[[#This Row],[Tipo]],"vencida"))</f>
        <v>ON Pyme CNV Garantizadavencida</v>
      </c>
    </row>
    <row r="122" spans="1:16" x14ac:dyDescent="0.25">
      <c r="A122" s="441" t="s">
        <v>231</v>
      </c>
      <c r="B122" s="441" t="s">
        <v>495</v>
      </c>
      <c r="C122" s="442" t="s">
        <v>207</v>
      </c>
      <c r="D122" s="443" t="s">
        <v>407</v>
      </c>
      <c r="E122" s="442" t="s">
        <v>17</v>
      </c>
      <c r="F122" s="442" t="s">
        <v>309</v>
      </c>
      <c r="G122" s="497">
        <v>1</v>
      </c>
      <c r="H122" s="448">
        <v>43675</v>
      </c>
      <c r="I122" s="448">
        <v>44771</v>
      </c>
      <c r="J122" s="449">
        <v>100000</v>
      </c>
      <c r="K122" s="449">
        <f>+SUMIF(ARS!$D:$D,Tabla4[[#This Row],[Emision]],ARS!$G:$G)</f>
        <v>0</v>
      </c>
      <c r="L122" s="449">
        <f>+SUMIF(USD!$D:$D,Tabla4[[#This Row],[Emision]],USD!$G:$G)</f>
        <v>0</v>
      </c>
      <c r="M122" s="449">
        <f>+Tabla4[[#This Row],[Valor Residual ARS]]*Tabla4[[#This Row],[% GARANTIZADO]]</f>
        <v>0</v>
      </c>
      <c r="N122" s="449">
        <f>+Tabla4[[#This Row],[Valor Residual USD]]*Tabla4[[#This Row],[% GARANTIZADO]]</f>
        <v>0</v>
      </c>
      <c r="O122" s="490" t="str">
        <f>+IF(Tabla4[[#This Row],[Valor Residual ARS]]&gt;0,CONCATENATE(Tabla4[[#This Row],[Tipo]],""),CONCATENATE(Tabla4[[#This Row],[Tipo]],"vencida"))</f>
        <v>ON Pyme CNV Garantizadavencida</v>
      </c>
      <c r="P122" s="490" t="str">
        <f>+IF(Tabla4[[#This Row],[Valor Residual USD]]&gt;0,CONCATENATE(Tabla4[[#This Row],[Tipo]],""),CONCATENATE(Tabla4[[#This Row],[Tipo]],"vencida"))</f>
        <v>ON Pyme CNV Garantizadavencida</v>
      </c>
    </row>
    <row r="123" spans="1:16" x14ac:dyDescent="0.25">
      <c r="A123" s="441" t="s">
        <v>227</v>
      </c>
      <c r="B123" s="441" t="s">
        <v>496</v>
      </c>
      <c r="C123" s="442" t="s">
        <v>208</v>
      </c>
      <c r="D123" s="443" t="s">
        <v>407</v>
      </c>
      <c r="E123" s="442" t="s">
        <v>17</v>
      </c>
      <c r="F123" s="442" t="s">
        <v>309</v>
      </c>
      <c r="G123" s="497">
        <v>1</v>
      </c>
      <c r="H123" s="448">
        <v>43356</v>
      </c>
      <c r="I123" s="448">
        <v>44452</v>
      </c>
      <c r="J123" s="449">
        <v>500000</v>
      </c>
      <c r="K123" s="449">
        <f>+SUMIF(ARS!$D:$D,Tabla4[[#This Row],[Emision]],ARS!$G:$G)</f>
        <v>0</v>
      </c>
      <c r="L123" s="449">
        <f>+SUMIF(USD!$D:$D,Tabla4[[#This Row],[Emision]],USD!$G:$G)</f>
        <v>0</v>
      </c>
      <c r="M123" s="449">
        <f>+Tabla4[[#This Row],[Valor Residual ARS]]*Tabla4[[#This Row],[% GARANTIZADO]]</f>
        <v>0</v>
      </c>
      <c r="N123" s="449">
        <f>+Tabla4[[#This Row],[Valor Residual USD]]*Tabla4[[#This Row],[% GARANTIZADO]]</f>
        <v>0</v>
      </c>
      <c r="O123" s="490" t="str">
        <f>+IF(Tabla4[[#This Row],[Valor Residual ARS]]&gt;0,CONCATENATE(Tabla4[[#This Row],[Tipo]],""),CONCATENATE(Tabla4[[#This Row],[Tipo]],"vencida"))</f>
        <v>ON Pyme CNV Garantizadavencida</v>
      </c>
      <c r="P123" s="490" t="str">
        <f>+IF(Tabla4[[#This Row],[Valor Residual USD]]&gt;0,CONCATENATE(Tabla4[[#This Row],[Tipo]],""),CONCATENATE(Tabla4[[#This Row],[Tipo]],"vencida"))</f>
        <v>ON Pyme CNV Garantizadavencida</v>
      </c>
    </row>
    <row r="124" spans="1:16" x14ac:dyDescent="0.25">
      <c r="A124" s="441" t="s">
        <v>169</v>
      </c>
      <c r="B124" s="441" t="s">
        <v>497</v>
      </c>
      <c r="C124" s="442" t="s">
        <v>170</v>
      </c>
      <c r="D124" s="443" t="s">
        <v>406</v>
      </c>
      <c r="E124" s="442" t="s">
        <v>17</v>
      </c>
      <c r="F124" s="442" t="s">
        <v>309</v>
      </c>
      <c r="G124" s="497">
        <v>1</v>
      </c>
      <c r="H124" s="448">
        <v>43342</v>
      </c>
      <c r="I124" s="448">
        <v>44438</v>
      </c>
      <c r="J124" s="449">
        <v>5000000</v>
      </c>
      <c r="K124" s="449">
        <f>+SUMIF(ARS!$D:$D,Tabla4[[#This Row],[Emision]],ARS!$G:$G)</f>
        <v>0</v>
      </c>
      <c r="L124" s="449">
        <f>+SUMIF(USD!$D:$D,Tabla4[[#This Row],[Emision]],USD!$G:$G)</f>
        <v>0</v>
      </c>
      <c r="M124" s="449">
        <f>+Tabla4[[#This Row],[Valor Residual ARS]]*Tabla4[[#This Row],[% GARANTIZADO]]</f>
        <v>0</v>
      </c>
      <c r="N124" s="449">
        <f>+Tabla4[[#This Row],[Valor Residual USD]]*Tabla4[[#This Row],[% GARANTIZADO]]</f>
        <v>0</v>
      </c>
      <c r="O124" s="490" t="str">
        <f>+IF(Tabla4[[#This Row],[Valor Residual ARS]]&gt;0,CONCATENATE(Tabla4[[#This Row],[Tipo]],""),CONCATENATE(Tabla4[[#This Row],[Tipo]],"vencida"))</f>
        <v>ON Pyme CNV Garantizadavencida</v>
      </c>
      <c r="P124" s="490" t="str">
        <f>+IF(Tabla4[[#This Row],[Valor Residual USD]]&gt;0,CONCATENATE(Tabla4[[#This Row],[Tipo]],""),CONCATENATE(Tabla4[[#This Row],[Tipo]],"vencida"))</f>
        <v>ON Pyme CNV Garantizadavencida</v>
      </c>
    </row>
    <row r="125" spans="1:16" x14ac:dyDescent="0.25">
      <c r="A125" s="441" t="s">
        <v>382</v>
      </c>
      <c r="B125" s="441" t="s">
        <v>440</v>
      </c>
      <c r="C125" s="442" t="s">
        <v>379</v>
      </c>
      <c r="D125" s="443" t="s">
        <v>406</v>
      </c>
      <c r="E125" s="442" t="s">
        <v>17</v>
      </c>
      <c r="F125" s="442" t="s">
        <v>309</v>
      </c>
      <c r="G125" s="497">
        <v>0.41670000000000001</v>
      </c>
      <c r="H125" s="448">
        <v>44791</v>
      </c>
      <c r="I125" s="448">
        <v>45522</v>
      </c>
      <c r="J125" s="449">
        <v>120000000</v>
      </c>
      <c r="K125" s="449">
        <f>+SUMIF(ARS!$D:$D,Tabla4[[#This Row],[Emision]],ARS!$G:$G)</f>
        <v>1.2010335922241211E-5</v>
      </c>
      <c r="L125" s="449">
        <f>+SUMIF(USD!$D:$D,Tabla4[[#This Row],[Emision]],USD!$G:$G)</f>
        <v>0</v>
      </c>
      <c r="M125" s="449">
        <f>+Tabla4[[#This Row],[Valor Residual ARS]]*Tabla4[[#This Row],[% GARANTIZADO]]</f>
        <v>5.0047069787979129E-6</v>
      </c>
      <c r="N125" s="449">
        <f>+Tabla4[[#This Row],[Valor Residual USD]]*Tabla4[[#This Row],[% GARANTIZADO]]</f>
        <v>0</v>
      </c>
      <c r="O125" s="490" t="str">
        <f>+IF(Tabla4[[#This Row],[Valor Residual ARS]]&gt;0,CONCATENATE(Tabla4[[#This Row],[Tipo]],""),CONCATENATE(Tabla4[[#This Row],[Tipo]],"vencida"))</f>
        <v>ON Pyme CNV Garantizada</v>
      </c>
      <c r="P125" s="490" t="str">
        <f>+IF(Tabla4[[#This Row],[Valor Residual USD]]&gt;0,CONCATENATE(Tabla4[[#This Row],[Tipo]],""),CONCATENATE(Tabla4[[#This Row],[Tipo]],"vencida"))</f>
        <v>ON Pyme CNV Garantizadavencida</v>
      </c>
    </row>
    <row r="126" spans="1:16" x14ac:dyDescent="0.25">
      <c r="A126" s="441" t="s">
        <v>382</v>
      </c>
      <c r="B126" s="441" t="s">
        <v>440</v>
      </c>
      <c r="C126" s="442" t="s">
        <v>379</v>
      </c>
      <c r="D126" s="443" t="s">
        <v>406</v>
      </c>
      <c r="E126" s="442" t="s">
        <v>17</v>
      </c>
      <c r="F126" s="444" t="s">
        <v>380</v>
      </c>
      <c r="G126" s="497">
        <v>0.58330000000000004</v>
      </c>
      <c r="H126" s="448">
        <v>44791</v>
      </c>
      <c r="I126" s="448">
        <v>45522</v>
      </c>
      <c r="J126" s="449">
        <v>120000000</v>
      </c>
      <c r="K126" s="449">
        <f>+SUMIF(ARS!$D:$D,Tabla4[[#This Row],[Emision]],ARS!$G:$G)</f>
        <v>1.2010335922241211E-5</v>
      </c>
      <c r="L126" s="449">
        <f>+SUMIF(USD!$D:$D,Tabla4[[#This Row],[Emision]],USD!$G:$G)</f>
        <v>0</v>
      </c>
      <c r="M126" s="449">
        <f>+Tabla4[[#This Row],[Valor Residual ARS]]*Tabla4[[#This Row],[% GARANTIZADO]]</f>
        <v>7.0056289434432989E-6</v>
      </c>
      <c r="N126" s="449">
        <f>+Tabla4[[#This Row],[Valor Residual USD]]*Tabla4[[#This Row],[% GARANTIZADO]]</f>
        <v>0</v>
      </c>
      <c r="O126" s="490" t="str">
        <f>+IF(Tabla4[[#This Row],[Valor Residual ARS]]&gt;0,CONCATENATE(Tabla4[[#This Row],[Tipo]],""),CONCATENATE(Tabla4[[#This Row],[Tipo]],"vencida"))</f>
        <v>ON Pyme CNV Garantizada</v>
      </c>
      <c r="P126" s="490" t="str">
        <f>+IF(Tabla4[[#This Row],[Valor Residual USD]]&gt;0,CONCATENATE(Tabla4[[#This Row],[Tipo]],""),CONCATENATE(Tabla4[[#This Row],[Tipo]],"vencida"))</f>
        <v>ON Pyme CNV Garantizadavencida</v>
      </c>
    </row>
    <row r="127" spans="1:16" x14ac:dyDescent="0.25">
      <c r="A127" s="441" t="s">
        <v>172</v>
      </c>
      <c r="B127" s="441" t="s">
        <v>498</v>
      </c>
      <c r="C127" s="442" t="s">
        <v>173</v>
      </c>
      <c r="D127" s="443" t="s">
        <v>406</v>
      </c>
      <c r="E127" s="442" t="s">
        <v>17</v>
      </c>
      <c r="F127" s="442" t="s">
        <v>309</v>
      </c>
      <c r="G127" s="497">
        <v>1</v>
      </c>
      <c r="H127" s="448">
        <v>43648</v>
      </c>
      <c r="I127" s="448">
        <v>44744</v>
      </c>
      <c r="J127" s="449">
        <v>3000000</v>
      </c>
      <c r="K127" s="449">
        <f>+SUMIF(ARS!$D:$D,Tabla4[[#This Row],[Emision]],ARS!$G:$G)</f>
        <v>0</v>
      </c>
      <c r="L127" s="449">
        <f>+SUMIF(USD!$D:$D,Tabla4[[#This Row],[Emision]],USD!$G:$G)</f>
        <v>0</v>
      </c>
      <c r="M127" s="449">
        <f>+Tabla4[[#This Row],[Valor Residual ARS]]*Tabla4[[#This Row],[% GARANTIZADO]]</f>
        <v>0</v>
      </c>
      <c r="N127" s="449">
        <f>+Tabla4[[#This Row],[Valor Residual USD]]*Tabla4[[#This Row],[% GARANTIZADO]]</f>
        <v>0</v>
      </c>
      <c r="O127" s="490" t="str">
        <f>+IF(Tabla4[[#This Row],[Valor Residual ARS]]&gt;0,CONCATENATE(Tabla4[[#This Row],[Tipo]],""),CONCATENATE(Tabla4[[#This Row],[Tipo]],"vencida"))</f>
        <v>ON Pyme CNV Garantizadavencida</v>
      </c>
      <c r="P127" s="490" t="str">
        <f>+IF(Tabla4[[#This Row],[Valor Residual USD]]&gt;0,CONCATENATE(Tabla4[[#This Row],[Tipo]],""),CONCATENATE(Tabla4[[#This Row],[Tipo]],"vencida"))</f>
        <v>ON Pyme CNV Garantizadavencida</v>
      </c>
    </row>
    <row r="128" spans="1:16" x14ac:dyDescent="0.25">
      <c r="A128" s="441" t="s">
        <v>228</v>
      </c>
      <c r="B128" s="441" t="s">
        <v>499</v>
      </c>
      <c r="C128" s="442" t="s">
        <v>209</v>
      </c>
      <c r="D128" s="443" t="s">
        <v>407</v>
      </c>
      <c r="E128" s="442" t="s">
        <v>229</v>
      </c>
      <c r="F128" s="442"/>
      <c r="G128" s="497">
        <v>0</v>
      </c>
      <c r="H128" s="448">
        <v>43880</v>
      </c>
      <c r="I128" s="448">
        <v>44427</v>
      </c>
      <c r="J128" s="449">
        <v>7620411</v>
      </c>
      <c r="K128" s="449">
        <f>+SUMIF(ARS!$D:$D,Tabla4[[#This Row],[Emision]],ARS!$G:$G)</f>
        <v>0</v>
      </c>
      <c r="L128" s="449">
        <f>+SUMIF(USD!$D:$D,Tabla4[[#This Row],[Emision]],USD!$G:$G)</f>
        <v>0</v>
      </c>
      <c r="M128" s="449">
        <f>+Tabla4[[#This Row],[Valor Residual ARS]]*Tabla4[[#This Row],[% GARANTIZADO]]</f>
        <v>0</v>
      </c>
      <c r="N128" s="449">
        <f>+Tabla4[[#This Row],[Valor Residual USD]]*Tabla4[[#This Row],[% GARANTIZADO]]</f>
        <v>0</v>
      </c>
      <c r="O128" s="490" t="str">
        <f>+IF(Tabla4[[#This Row],[Valor Residual ARS]]&gt;0,CONCATENATE(Tabla4[[#This Row],[Tipo]],""),CONCATENATE(Tabla4[[#This Row],[Tipo]],"vencida"))</f>
        <v>Régimen Generalvencida</v>
      </c>
      <c r="P128" s="490" t="str">
        <f>+IF(Tabla4[[#This Row],[Valor Residual USD]]&gt;0,CONCATENATE(Tabla4[[#This Row],[Tipo]],""),CONCATENATE(Tabla4[[#This Row],[Tipo]],"vencida"))</f>
        <v>Régimen Generalvencida</v>
      </c>
    </row>
    <row r="129" spans="1:16" x14ac:dyDescent="0.25">
      <c r="A129" s="441" t="s">
        <v>347</v>
      </c>
      <c r="B129" s="441" t="s">
        <v>500</v>
      </c>
      <c r="C129" s="442" t="s">
        <v>405</v>
      </c>
      <c r="D129" s="443" t="s">
        <v>406</v>
      </c>
      <c r="E129" s="442" t="s">
        <v>61</v>
      </c>
      <c r="F129" s="442"/>
      <c r="G129" s="509">
        <v>1</v>
      </c>
      <c r="H129" s="448">
        <v>44004</v>
      </c>
      <c r="I129" s="448">
        <v>44369</v>
      </c>
      <c r="J129" s="449">
        <v>100000000</v>
      </c>
      <c r="K129" s="449">
        <f>+SUMIF(ARS!$D:$D,Tabla4[[#This Row],[Emision]],ARS!$G:$G)</f>
        <v>0</v>
      </c>
      <c r="L129" s="449">
        <f>+SUMIF(USD!$D:$D,Tabla4[[#This Row],[Emision]],USD!$G:$G)</f>
        <v>0</v>
      </c>
      <c r="M129" s="449">
        <f>+Tabla4[[#This Row],[Valor Residual ARS]]*Tabla4[[#This Row],[% GARANTIZADO]]</f>
        <v>0</v>
      </c>
      <c r="N129" s="449">
        <f>+Tabla4[[#This Row],[Valor Residual USD]]*Tabla4[[#This Row],[% GARANTIZADO]]</f>
        <v>0</v>
      </c>
      <c r="O129" s="490" t="str">
        <f>+IF(Tabla4[[#This Row],[Valor Residual ARS]]&gt;0,CONCATENATE(Tabla4[[#This Row],[Tipo]],""),CONCATENATE(Tabla4[[#This Row],[Tipo]],"vencida"))</f>
        <v>ON Pymevencida</v>
      </c>
      <c r="P129" s="490" t="str">
        <f>+IF(Tabla4[[#This Row],[Valor Residual USD]]&gt;0,CONCATENATE(Tabla4[[#This Row],[Tipo]],""),CONCATENATE(Tabla4[[#This Row],[Tipo]],"vencida"))</f>
        <v>ON Pymevencida</v>
      </c>
    </row>
    <row r="130" spans="1:16" x14ac:dyDescent="0.25">
      <c r="A130" s="441" t="s">
        <v>224</v>
      </c>
      <c r="B130" s="441" t="s">
        <v>471</v>
      </c>
      <c r="C130" s="442" t="s">
        <v>210</v>
      </c>
      <c r="D130" s="443" t="s">
        <v>407</v>
      </c>
      <c r="E130" s="442" t="s">
        <v>17</v>
      </c>
      <c r="F130" s="442" t="s">
        <v>325</v>
      </c>
      <c r="G130" s="497">
        <v>0.5</v>
      </c>
      <c r="H130" s="448">
        <v>43322</v>
      </c>
      <c r="I130" s="448">
        <v>44053</v>
      </c>
      <c r="J130" s="449">
        <v>600000</v>
      </c>
      <c r="K130" s="449">
        <f>+SUMIF(ARS!$D:$D,Tabla4[[#This Row],[Emision]],ARS!$G:$G)</f>
        <v>0</v>
      </c>
      <c r="L130" s="449">
        <f>+SUMIF(USD!$D:$D,Tabla4[[#This Row],[Emision]],USD!$G:$G)</f>
        <v>0</v>
      </c>
      <c r="M130" s="449">
        <f>+Tabla4[[#This Row],[Valor Residual ARS]]*Tabla4[[#This Row],[% GARANTIZADO]]</f>
        <v>0</v>
      </c>
      <c r="N130" s="449">
        <f>+Tabla4[[#This Row],[Valor Residual USD]]*Tabla4[[#This Row],[% GARANTIZADO]]</f>
        <v>0</v>
      </c>
      <c r="O130" s="490" t="str">
        <f>+IF(Tabla4[[#This Row],[Valor Residual ARS]]&gt;0,CONCATENATE(Tabla4[[#This Row],[Tipo]],""),CONCATENATE(Tabla4[[#This Row],[Tipo]],"vencida"))</f>
        <v>ON Pyme CNV Garantizadavencida</v>
      </c>
      <c r="P130" s="490" t="str">
        <f>+IF(Tabla4[[#This Row],[Valor Residual USD]]&gt;0,CONCATENATE(Tabla4[[#This Row],[Tipo]],""),CONCATENATE(Tabla4[[#This Row],[Tipo]],"vencida"))</f>
        <v>ON Pyme CNV Garantizadavencida</v>
      </c>
    </row>
    <row r="131" spans="1:16" x14ac:dyDescent="0.25">
      <c r="A131" s="441" t="s">
        <v>224</v>
      </c>
      <c r="B131" s="441" t="s">
        <v>471</v>
      </c>
      <c r="C131" s="442" t="s">
        <v>210</v>
      </c>
      <c r="D131" s="443" t="s">
        <v>407</v>
      </c>
      <c r="E131" s="442" t="s">
        <v>17</v>
      </c>
      <c r="F131" s="442" t="s">
        <v>287</v>
      </c>
      <c r="G131" s="497">
        <v>0.25</v>
      </c>
      <c r="H131" s="448">
        <v>43322</v>
      </c>
      <c r="I131" s="448">
        <v>44053</v>
      </c>
      <c r="J131" s="449">
        <v>600000</v>
      </c>
      <c r="K131" s="449">
        <f>+SUMIF(ARS!$D:$D,Tabla4[[#This Row],[Emision]],ARS!$G:$G)</f>
        <v>0</v>
      </c>
      <c r="L131" s="449">
        <f>+SUMIF(USD!$D:$D,Tabla4[[#This Row],[Emision]],USD!$G:$G)</f>
        <v>0</v>
      </c>
      <c r="M131" s="449">
        <f>+Tabla4[[#This Row],[Valor Residual ARS]]*Tabla4[[#This Row],[% GARANTIZADO]]</f>
        <v>0</v>
      </c>
      <c r="N131" s="449">
        <f>+Tabla4[[#This Row],[Valor Residual USD]]*Tabla4[[#This Row],[% GARANTIZADO]]</f>
        <v>0</v>
      </c>
      <c r="O131" s="490" t="str">
        <f>+IF(Tabla4[[#This Row],[Valor Residual ARS]]&gt;0,CONCATENATE(Tabla4[[#This Row],[Tipo]],""),CONCATENATE(Tabla4[[#This Row],[Tipo]],"vencida"))</f>
        <v>ON Pyme CNV Garantizadavencida</v>
      </c>
      <c r="P131" s="490" t="str">
        <f>+IF(Tabla4[[#This Row],[Valor Residual USD]]&gt;0,CONCATENATE(Tabla4[[#This Row],[Tipo]],""),CONCATENATE(Tabla4[[#This Row],[Tipo]],"vencida"))</f>
        <v>ON Pyme CNV Garantizadavencida</v>
      </c>
    </row>
    <row r="132" spans="1:16" x14ac:dyDescent="0.25">
      <c r="A132" s="441" t="s">
        <v>224</v>
      </c>
      <c r="B132" s="441" t="s">
        <v>471</v>
      </c>
      <c r="C132" s="442" t="s">
        <v>210</v>
      </c>
      <c r="D132" s="443" t="s">
        <v>407</v>
      </c>
      <c r="E132" s="442" t="s">
        <v>17</v>
      </c>
      <c r="F132" s="442" t="s">
        <v>301</v>
      </c>
      <c r="G132" s="497">
        <v>0.25</v>
      </c>
      <c r="H132" s="448">
        <v>43322</v>
      </c>
      <c r="I132" s="448">
        <v>44053</v>
      </c>
      <c r="J132" s="449">
        <v>600000</v>
      </c>
      <c r="K132" s="449">
        <f>+SUMIF(ARS!$D:$D,Tabla4[[#This Row],[Emision]],ARS!$G:$G)</f>
        <v>0</v>
      </c>
      <c r="L132" s="449">
        <f>+SUMIF(USD!$D:$D,Tabla4[[#This Row],[Emision]],USD!$G:$G)</f>
        <v>0</v>
      </c>
      <c r="M132" s="449">
        <f>+Tabla4[[#This Row],[Valor Residual ARS]]*Tabla4[[#This Row],[% GARANTIZADO]]</f>
        <v>0</v>
      </c>
      <c r="N132" s="449">
        <f>+Tabla4[[#This Row],[Valor Residual USD]]*Tabla4[[#This Row],[% GARANTIZADO]]</f>
        <v>0</v>
      </c>
      <c r="O132" s="490" t="str">
        <f>+IF(Tabla4[[#This Row],[Valor Residual ARS]]&gt;0,CONCATENATE(Tabla4[[#This Row],[Tipo]],""),CONCATENATE(Tabla4[[#This Row],[Tipo]],"vencida"))</f>
        <v>ON Pyme CNV Garantizadavencida</v>
      </c>
      <c r="P132" s="490" t="str">
        <f>+IF(Tabla4[[#This Row],[Valor Residual USD]]&gt;0,CONCATENATE(Tabla4[[#This Row],[Tipo]],""),CONCATENATE(Tabla4[[#This Row],[Tipo]],"vencida"))</f>
        <v>ON Pyme CNV Garantizadavencida</v>
      </c>
    </row>
    <row r="133" spans="1:16" x14ac:dyDescent="0.25">
      <c r="A133" s="441" t="s">
        <v>175</v>
      </c>
      <c r="B133" s="441" t="s">
        <v>501</v>
      </c>
      <c r="C133" s="442" t="s">
        <v>174</v>
      </c>
      <c r="D133" s="443" t="s">
        <v>406</v>
      </c>
      <c r="E133" s="442" t="s">
        <v>17</v>
      </c>
      <c r="F133" s="442" t="s">
        <v>309</v>
      </c>
      <c r="G133" s="497">
        <v>1</v>
      </c>
      <c r="H133" s="448">
        <v>43608</v>
      </c>
      <c r="I133" s="448">
        <v>44704</v>
      </c>
      <c r="J133" s="449">
        <v>5000000</v>
      </c>
      <c r="K133" s="449">
        <f>+SUMIF(ARS!$D:$D,Tabla4[[#This Row],[Emision]],ARS!$G:$G)</f>
        <v>0</v>
      </c>
      <c r="L133" s="449">
        <f>+SUMIF(USD!$D:$D,Tabla4[[#This Row],[Emision]],USD!$G:$G)</f>
        <v>0</v>
      </c>
      <c r="M133" s="449">
        <f>+Tabla4[[#This Row],[Valor Residual ARS]]*Tabla4[[#This Row],[% GARANTIZADO]]</f>
        <v>0</v>
      </c>
      <c r="N133" s="449">
        <f>+Tabla4[[#This Row],[Valor Residual USD]]*Tabla4[[#This Row],[% GARANTIZADO]]</f>
        <v>0</v>
      </c>
      <c r="O133" s="490" t="str">
        <f>+IF(Tabla4[[#This Row],[Valor Residual ARS]]&gt;0,CONCATENATE(Tabla4[[#This Row],[Tipo]],""),CONCATENATE(Tabla4[[#This Row],[Tipo]],"vencida"))</f>
        <v>ON Pyme CNV Garantizadavencida</v>
      </c>
      <c r="P133" s="490" t="str">
        <f>+IF(Tabla4[[#This Row],[Valor Residual USD]]&gt;0,CONCATENATE(Tabla4[[#This Row],[Tipo]],""),CONCATENATE(Tabla4[[#This Row],[Tipo]],"vencida"))</f>
        <v>ON Pyme CNV Garantizadavencida</v>
      </c>
    </row>
    <row r="134" spans="1:16" x14ac:dyDescent="0.25">
      <c r="A134" s="441" t="s">
        <v>177</v>
      </c>
      <c r="B134" s="441" t="s">
        <v>476</v>
      </c>
      <c r="C134" s="442" t="s">
        <v>176</v>
      </c>
      <c r="D134" s="443" t="s">
        <v>406</v>
      </c>
      <c r="E134" s="442" t="s">
        <v>17</v>
      </c>
      <c r="F134" s="442" t="s">
        <v>309</v>
      </c>
      <c r="G134" s="497">
        <v>1</v>
      </c>
      <c r="H134" s="448">
        <v>43391</v>
      </c>
      <c r="I134" s="448">
        <v>44487</v>
      </c>
      <c r="J134" s="449">
        <v>8000000</v>
      </c>
      <c r="K134" s="449">
        <f>+SUMIF(ARS!$D:$D,Tabla4[[#This Row],[Emision]],ARS!$G:$G)</f>
        <v>0</v>
      </c>
      <c r="L134" s="449">
        <f>+SUMIF(USD!$D:$D,Tabla4[[#This Row],[Emision]],USD!$G:$G)</f>
        <v>0</v>
      </c>
      <c r="M134" s="449">
        <f>+Tabla4[[#This Row],[Valor Residual ARS]]*Tabla4[[#This Row],[% GARANTIZADO]]</f>
        <v>0</v>
      </c>
      <c r="N134" s="449">
        <f>+Tabla4[[#This Row],[Valor Residual USD]]*Tabla4[[#This Row],[% GARANTIZADO]]</f>
        <v>0</v>
      </c>
      <c r="O134" s="490" t="str">
        <f>+IF(Tabla4[[#This Row],[Valor Residual ARS]]&gt;0,CONCATENATE(Tabla4[[#This Row],[Tipo]],""),CONCATENATE(Tabla4[[#This Row],[Tipo]],"vencida"))</f>
        <v>ON Pyme CNV Garantizadavencida</v>
      </c>
      <c r="P134" s="490" t="str">
        <f>+IF(Tabla4[[#This Row],[Valor Residual USD]]&gt;0,CONCATENATE(Tabla4[[#This Row],[Tipo]],""),CONCATENATE(Tabla4[[#This Row],[Tipo]],"vencida"))</f>
        <v>ON Pyme CNV Garantizadavencida</v>
      </c>
    </row>
    <row r="135" spans="1:16" x14ac:dyDescent="0.25">
      <c r="A135" s="441" t="s">
        <v>177</v>
      </c>
      <c r="B135" s="441" t="s">
        <v>476</v>
      </c>
      <c r="C135" s="442" t="s">
        <v>178</v>
      </c>
      <c r="D135" s="443" t="s">
        <v>406</v>
      </c>
      <c r="E135" s="442" t="s">
        <v>17</v>
      </c>
      <c r="F135" s="442" t="s">
        <v>303</v>
      </c>
      <c r="G135" s="497">
        <v>1</v>
      </c>
      <c r="H135" s="448">
        <v>43515</v>
      </c>
      <c r="I135" s="448">
        <v>44611</v>
      </c>
      <c r="J135" s="449">
        <v>8000000</v>
      </c>
      <c r="K135" s="449">
        <f>+SUMIF(ARS!$D:$D,Tabla4[[#This Row],[Emision]],ARS!$G:$G)</f>
        <v>0</v>
      </c>
      <c r="L135" s="449">
        <f>+SUMIF(USD!$D:$D,Tabla4[[#This Row],[Emision]],USD!$G:$G)</f>
        <v>0</v>
      </c>
      <c r="M135" s="449">
        <f>+Tabla4[[#This Row],[Valor Residual ARS]]*Tabla4[[#This Row],[% GARANTIZADO]]</f>
        <v>0</v>
      </c>
      <c r="N135" s="449">
        <f>+Tabla4[[#This Row],[Valor Residual USD]]*Tabla4[[#This Row],[% GARANTIZADO]]</f>
        <v>0</v>
      </c>
      <c r="O135" s="490" t="str">
        <f>+IF(Tabla4[[#This Row],[Valor Residual ARS]]&gt;0,CONCATENATE(Tabla4[[#This Row],[Tipo]],""),CONCATENATE(Tabla4[[#This Row],[Tipo]],"vencida"))</f>
        <v>ON Pyme CNV Garantizadavencida</v>
      </c>
      <c r="P135" s="490" t="str">
        <f>+IF(Tabla4[[#This Row],[Valor Residual USD]]&gt;0,CONCATENATE(Tabla4[[#This Row],[Tipo]],""),CONCATENATE(Tabla4[[#This Row],[Tipo]],"vencida"))</f>
        <v>ON Pyme CNV Garantizadavencida</v>
      </c>
    </row>
    <row r="136" spans="1:16" x14ac:dyDescent="0.25">
      <c r="A136" s="441" t="s">
        <v>180</v>
      </c>
      <c r="B136" s="441" t="s">
        <v>502</v>
      </c>
      <c r="C136" s="442" t="s">
        <v>179</v>
      </c>
      <c r="D136" s="443" t="s">
        <v>406</v>
      </c>
      <c r="E136" s="442" t="s">
        <v>17</v>
      </c>
      <c r="F136" s="442" t="s">
        <v>309</v>
      </c>
      <c r="G136" s="497">
        <v>1</v>
      </c>
      <c r="H136" s="448">
        <v>43406</v>
      </c>
      <c r="I136" s="448">
        <v>44137</v>
      </c>
      <c r="J136" s="449">
        <v>2000000</v>
      </c>
      <c r="K136" s="449">
        <f>+SUMIF(ARS!$D:$D,Tabla4[[#This Row],[Emision]],ARS!$G:$G)</f>
        <v>0</v>
      </c>
      <c r="L136" s="449">
        <f>+SUMIF(USD!$D:$D,Tabla4[[#This Row],[Emision]],USD!$G:$G)</f>
        <v>0</v>
      </c>
      <c r="M136" s="449">
        <f>+Tabla4[[#This Row],[Valor Residual ARS]]*Tabla4[[#This Row],[% GARANTIZADO]]</f>
        <v>0</v>
      </c>
      <c r="N136" s="449">
        <f>+Tabla4[[#This Row],[Valor Residual USD]]*Tabla4[[#This Row],[% GARANTIZADO]]</f>
        <v>0</v>
      </c>
      <c r="O136" s="490" t="str">
        <f>+IF(Tabla4[[#This Row],[Valor Residual ARS]]&gt;0,CONCATENATE(Tabla4[[#This Row],[Tipo]],""),CONCATENATE(Tabla4[[#This Row],[Tipo]],"vencida"))</f>
        <v>ON Pyme CNV Garantizadavencida</v>
      </c>
      <c r="P136" s="490" t="str">
        <f>+IF(Tabla4[[#This Row],[Valor Residual USD]]&gt;0,CONCATENATE(Tabla4[[#This Row],[Tipo]],""),CONCATENATE(Tabla4[[#This Row],[Tipo]],"vencida"))</f>
        <v>ON Pyme CNV Garantizadavencida</v>
      </c>
    </row>
    <row r="137" spans="1:16" x14ac:dyDescent="0.25">
      <c r="A137" s="441" t="s">
        <v>222</v>
      </c>
      <c r="B137" s="441" t="s">
        <v>503</v>
      </c>
      <c r="C137" s="442" t="s">
        <v>213</v>
      </c>
      <c r="D137" s="443" t="s">
        <v>406</v>
      </c>
      <c r="E137" s="442" t="s">
        <v>61</v>
      </c>
      <c r="F137" s="442"/>
      <c r="G137" s="509">
        <v>1</v>
      </c>
      <c r="H137" s="448">
        <v>42990</v>
      </c>
      <c r="I137" s="448">
        <v>44086</v>
      </c>
      <c r="J137" s="449">
        <v>60000000</v>
      </c>
      <c r="K137" s="449">
        <f>+SUMIF(ARS!$D:$D,Tabla4[[#This Row],[Emision]],ARS!$G:$G)</f>
        <v>0</v>
      </c>
      <c r="L137" s="449">
        <f>+SUMIF(USD!$D:$D,Tabla4[[#This Row],[Emision]],USD!$G:$G)</f>
        <v>0</v>
      </c>
      <c r="M137" s="449">
        <f>+Tabla4[[#This Row],[Valor Residual ARS]]*Tabla4[[#This Row],[% GARANTIZADO]]</f>
        <v>0</v>
      </c>
      <c r="N137" s="449">
        <f>+Tabla4[[#This Row],[Valor Residual USD]]*Tabla4[[#This Row],[% GARANTIZADO]]</f>
        <v>0</v>
      </c>
      <c r="O137" s="490" t="str">
        <f>+IF(Tabla4[[#This Row],[Valor Residual ARS]]&gt;0,CONCATENATE(Tabla4[[#This Row],[Tipo]],""),CONCATENATE(Tabla4[[#This Row],[Tipo]],"vencida"))</f>
        <v>ON Pymevencida</v>
      </c>
      <c r="P137" s="490" t="str">
        <f>+IF(Tabla4[[#This Row],[Valor Residual USD]]&gt;0,CONCATENATE(Tabla4[[#This Row],[Tipo]],""),CONCATENATE(Tabla4[[#This Row],[Tipo]],"vencida"))</f>
        <v>ON Pymevencida</v>
      </c>
    </row>
    <row r="138" spans="1:16" x14ac:dyDescent="0.25">
      <c r="A138" s="441" t="s">
        <v>182</v>
      </c>
      <c r="B138" s="441" t="s">
        <v>504</v>
      </c>
      <c r="C138" s="442" t="s">
        <v>181</v>
      </c>
      <c r="D138" s="443" t="s">
        <v>406</v>
      </c>
      <c r="E138" s="442" t="s">
        <v>17</v>
      </c>
      <c r="F138" s="442" t="s">
        <v>309</v>
      </c>
      <c r="G138" s="497">
        <v>1</v>
      </c>
      <c r="H138" s="448">
        <v>43572</v>
      </c>
      <c r="I138" s="448">
        <v>44303</v>
      </c>
      <c r="J138" s="449">
        <v>2000000</v>
      </c>
      <c r="K138" s="449">
        <f>+SUMIF(ARS!$D:$D,Tabla4[[#This Row],[Emision]],ARS!$G:$G)</f>
        <v>0</v>
      </c>
      <c r="L138" s="449">
        <f>+SUMIF(USD!$D:$D,Tabla4[[#This Row],[Emision]],USD!$G:$G)</f>
        <v>0</v>
      </c>
      <c r="M138" s="449">
        <f>+Tabla4[[#This Row],[Valor Residual ARS]]*Tabla4[[#This Row],[% GARANTIZADO]]</f>
        <v>0</v>
      </c>
      <c r="N138" s="449">
        <f>+Tabla4[[#This Row],[Valor Residual USD]]*Tabla4[[#This Row],[% GARANTIZADO]]</f>
        <v>0</v>
      </c>
      <c r="O138" s="490" t="str">
        <f>+IF(Tabla4[[#This Row],[Valor Residual ARS]]&gt;0,CONCATENATE(Tabla4[[#This Row],[Tipo]],""),CONCATENATE(Tabla4[[#This Row],[Tipo]],"vencida"))</f>
        <v>ON Pyme CNV Garantizadavencida</v>
      </c>
      <c r="P138" s="490" t="str">
        <f>+IF(Tabla4[[#This Row],[Valor Residual USD]]&gt;0,CONCATENATE(Tabla4[[#This Row],[Tipo]],""),CONCATENATE(Tabla4[[#This Row],[Tipo]],"vencida"))</f>
        <v>ON Pyme CNV Garantizadavencida</v>
      </c>
    </row>
    <row r="139" spans="1:16" x14ac:dyDescent="0.25">
      <c r="A139" s="441" t="s">
        <v>394</v>
      </c>
      <c r="B139" s="441" t="s">
        <v>441</v>
      </c>
      <c r="C139" s="442" t="s">
        <v>393</v>
      </c>
      <c r="D139" s="443" t="s">
        <v>406</v>
      </c>
      <c r="E139" s="442" t="s">
        <v>17</v>
      </c>
      <c r="F139" s="442" t="s">
        <v>308</v>
      </c>
      <c r="G139" s="497">
        <v>1</v>
      </c>
      <c r="H139" s="448">
        <v>44218</v>
      </c>
      <c r="I139" s="448">
        <v>44948</v>
      </c>
      <c r="J139" s="449">
        <v>50000000</v>
      </c>
      <c r="K139" s="449">
        <f>+SUMIF(ARS!$D:$D,Tabla4[[#This Row],[Emision]],ARS!$G:$G)</f>
        <v>0</v>
      </c>
      <c r="L139" s="449">
        <f>+SUMIF(USD!$D:$D,Tabla4[[#This Row],[Emision]],USD!$G:$G)</f>
        <v>0</v>
      </c>
      <c r="M139" s="449">
        <f>+Tabla4[[#This Row],[Valor Residual ARS]]*Tabla4[[#This Row],[% GARANTIZADO]]</f>
        <v>0</v>
      </c>
      <c r="N139" s="449">
        <f>+Tabla4[[#This Row],[Valor Residual USD]]*Tabla4[[#This Row],[% GARANTIZADO]]</f>
        <v>0</v>
      </c>
      <c r="O139" s="490" t="str">
        <f>+IF(Tabla4[[#This Row],[Valor Residual ARS]]&gt;0,CONCATENATE(Tabla4[[#This Row],[Tipo]],""),CONCATENATE(Tabla4[[#This Row],[Tipo]],"vencida"))</f>
        <v>ON Pyme CNV Garantizadavencida</v>
      </c>
      <c r="P139" s="490" t="str">
        <f>+IF(Tabla4[[#This Row],[Valor Residual USD]]&gt;0,CONCATENATE(Tabla4[[#This Row],[Tipo]],""),CONCATENATE(Tabla4[[#This Row],[Tipo]],"vencida"))</f>
        <v>ON Pyme CNV Garantizadavencida</v>
      </c>
    </row>
    <row r="140" spans="1:16" x14ac:dyDescent="0.25">
      <c r="A140" s="441" t="s">
        <v>221</v>
      </c>
      <c r="B140" s="441" t="s">
        <v>505</v>
      </c>
      <c r="C140" s="442" t="s">
        <v>232</v>
      </c>
      <c r="D140" s="443" t="s">
        <v>407</v>
      </c>
      <c r="E140" s="442" t="s">
        <v>17</v>
      </c>
      <c r="F140" s="442" t="s">
        <v>309</v>
      </c>
      <c r="G140" s="497">
        <v>1</v>
      </c>
      <c r="H140" s="448">
        <v>43441</v>
      </c>
      <c r="I140" s="448">
        <v>44172</v>
      </c>
      <c r="J140" s="449">
        <v>200000</v>
      </c>
      <c r="K140" s="449">
        <f>+SUMIF(ARS!$D:$D,Tabla4[[#This Row],[Emision]],ARS!$G:$G)</f>
        <v>0</v>
      </c>
      <c r="L140" s="449">
        <f>+SUMIF(USD!$D:$D,Tabla4[[#This Row],[Emision]],USD!$G:$G)</f>
        <v>0</v>
      </c>
      <c r="M140" s="449">
        <f>+Tabla4[[#This Row],[Valor Residual ARS]]*Tabla4[[#This Row],[% GARANTIZADO]]</f>
        <v>0</v>
      </c>
      <c r="N140" s="449">
        <f>+Tabla4[[#This Row],[Valor Residual USD]]*Tabla4[[#This Row],[% GARANTIZADO]]</f>
        <v>0</v>
      </c>
      <c r="O140" s="490" t="str">
        <f>+IF(Tabla4[[#This Row],[Valor Residual ARS]]&gt;0,CONCATENATE(Tabla4[[#This Row],[Tipo]],""),CONCATENATE(Tabla4[[#This Row],[Tipo]],"vencida"))</f>
        <v>ON Pyme CNV Garantizadavencida</v>
      </c>
      <c r="P140" s="490" t="str">
        <f>+IF(Tabla4[[#This Row],[Valor Residual USD]]&gt;0,CONCATENATE(Tabla4[[#This Row],[Tipo]],""),CONCATENATE(Tabla4[[#This Row],[Tipo]],"vencida"))</f>
        <v>ON Pyme CNV Garantizadavencida</v>
      </c>
    </row>
    <row r="141" spans="1:16" x14ac:dyDescent="0.25">
      <c r="A141" s="441" t="s">
        <v>47</v>
      </c>
      <c r="B141" s="441" t="s">
        <v>470</v>
      </c>
      <c r="C141" s="442" t="s">
        <v>46</v>
      </c>
      <c r="D141" s="443" t="s">
        <v>407</v>
      </c>
      <c r="E141" s="442" t="s">
        <v>17</v>
      </c>
      <c r="F141" s="442" t="s">
        <v>289</v>
      </c>
      <c r="G141" s="497">
        <v>0.25</v>
      </c>
      <c r="H141" s="448">
        <v>43217</v>
      </c>
      <c r="I141" s="448">
        <v>44313</v>
      </c>
      <c r="J141" s="449">
        <v>800000</v>
      </c>
      <c r="K141" s="449">
        <f>+SUMIF(ARS!$D:$D,Tabla4[[#This Row],[Emision]],ARS!$G:$G)</f>
        <v>0</v>
      </c>
      <c r="L141" s="449">
        <f>+SUMIF(USD!$D:$D,Tabla4[[#This Row],[Emision]],USD!$G:$G)</f>
        <v>0</v>
      </c>
      <c r="M141" s="449">
        <f>+Tabla4[[#This Row],[Valor Residual ARS]]*Tabla4[[#This Row],[% GARANTIZADO]]</f>
        <v>0</v>
      </c>
      <c r="N141" s="449">
        <f>+Tabla4[[#This Row],[Valor Residual USD]]*Tabla4[[#This Row],[% GARANTIZADO]]</f>
        <v>0</v>
      </c>
      <c r="O141" s="490" t="str">
        <f>+IF(Tabla4[[#This Row],[Valor Residual ARS]]&gt;0,CONCATENATE(Tabla4[[#This Row],[Tipo]],""),CONCATENATE(Tabla4[[#This Row],[Tipo]],"vencida"))</f>
        <v>ON Pyme CNV Garantizadavencida</v>
      </c>
      <c r="P141" s="490" t="str">
        <f>+IF(Tabla4[[#This Row],[Valor Residual USD]]&gt;0,CONCATENATE(Tabla4[[#This Row],[Tipo]],""),CONCATENATE(Tabla4[[#This Row],[Tipo]],"vencida"))</f>
        <v>ON Pyme CNV Garantizadavencida</v>
      </c>
    </row>
    <row r="142" spans="1:16" x14ac:dyDescent="0.25">
      <c r="A142" s="441" t="s">
        <v>47</v>
      </c>
      <c r="B142" s="441" t="s">
        <v>470</v>
      </c>
      <c r="C142" s="442" t="s">
        <v>46</v>
      </c>
      <c r="D142" s="443" t="s">
        <v>407</v>
      </c>
      <c r="E142" s="442" t="s">
        <v>17</v>
      </c>
      <c r="F142" s="442" t="s">
        <v>297</v>
      </c>
      <c r="G142" s="497">
        <v>0.25</v>
      </c>
      <c r="H142" s="448">
        <v>43217</v>
      </c>
      <c r="I142" s="448">
        <v>44313</v>
      </c>
      <c r="J142" s="449">
        <v>800000</v>
      </c>
      <c r="K142" s="449">
        <f>+SUMIF(ARS!$D:$D,Tabla4[[#This Row],[Emision]],ARS!$G:$G)</f>
        <v>0</v>
      </c>
      <c r="L142" s="449">
        <f>+SUMIF(USD!$D:$D,Tabla4[[#This Row],[Emision]],USD!$G:$G)</f>
        <v>0</v>
      </c>
      <c r="M142" s="449">
        <f>+Tabla4[[#This Row],[Valor Residual ARS]]*Tabla4[[#This Row],[% GARANTIZADO]]</f>
        <v>0</v>
      </c>
      <c r="N142" s="449">
        <f>+Tabla4[[#This Row],[Valor Residual USD]]*Tabla4[[#This Row],[% GARANTIZADO]]</f>
        <v>0</v>
      </c>
      <c r="O142" s="490" t="str">
        <f>+IF(Tabla4[[#This Row],[Valor Residual ARS]]&gt;0,CONCATENATE(Tabla4[[#This Row],[Tipo]],""),CONCATENATE(Tabla4[[#This Row],[Tipo]],"vencida"))</f>
        <v>ON Pyme CNV Garantizadavencida</v>
      </c>
      <c r="P142" s="490" t="str">
        <f>+IF(Tabla4[[#This Row],[Valor Residual USD]]&gt;0,CONCATENATE(Tabla4[[#This Row],[Tipo]],""),CONCATENATE(Tabla4[[#This Row],[Tipo]],"vencida"))</f>
        <v>ON Pyme CNV Garantizadavencida</v>
      </c>
    </row>
    <row r="143" spans="1:16" x14ac:dyDescent="0.25">
      <c r="A143" s="441" t="s">
        <v>47</v>
      </c>
      <c r="B143" s="441" t="s">
        <v>470</v>
      </c>
      <c r="C143" s="442" t="s">
        <v>46</v>
      </c>
      <c r="D143" s="443" t="s">
        <v>407</v>
      </c>
      <c r="E143" s="442" t="s">
        <v>17</v>
      </c>
      <c r="F143" s="442" t="s">
        <v>308</v>
      </c>
      <c r="G143" s="497">
        <v>0.25</v>
      </c>
      <c r="H143" s="448">
        <v>43217</v>
      </c>
      <c r="I143" s="448">
        <v>44313</v>
      </c>
      <c r="J143" s="449">
        <v>800000</v>
      </c>
      <c r="K143" s="449">
        <f>+SUMIF(ARS!$D:$D,Tabla4[[#This Row],[Emision]],ARS!$G:$G)</f>
        <v>0</v>
      </c>
      <c r="L143" s="449">
        <f>+SUMIF(USD!$D:$D,Tabla4[[#This Row],[Emision]],USD!$G:$G)</f>
        <v>0</v>
      </c>
      <c r="M143" s="449">
        <f>+Tabla4[[#This Row],[Valor Residual ARS]]*Tabla4[[#This Row],[% GARANTIZADO]]</f>
        <v>0</v>
      </c>
      <c r="N143" s="449">
        <f>+Tabla4[[#This Row],[Valor Residual USD]]*Tabla4[[#This Row],[% GARANTIZADO]]</f>
        <v>0</v>
      </c>
      <c r="O143" s="490" t="str">
        <f>+IF(Tabla4[[#This Row],[Valor Residual ARS]]&gt;0,CONCATENATE(Tabla4[[#This Row],[Tipo]],""),CONCATENATE(Tabla4[[#This Row],[Tipo]],"vencida"))</f>
        <v>ON Pyme CNV Garantizadavencida</v>
      </c>
      <c r="P143" s="490" t="str">
        <f>+IF(Tabla4[[#This Row],[Valor Residual USD]]&gt;0,CONCATENATE(Tabla4[[#This Row],[Tipo]],""),CONCATENATE(Tabla4[[#This Row],[Tipo]],"vencida"))</f>
        <v>ON Pyme CNV Garantizadavencida</v>
      </c>
    </row>
    <row r="144" spans="1:16" x14ac:dyDescent="0.25">
      <c r="A144" s="441" t="s">
        <v>47</v>
      </c>
      <c r="B144" s="441" t="s">
        <v>470</v>
      </c>
      <c r="C144" s="442" t="s">
        <v>46</v>
      </c>
      <c r="D144" s="443" t="s">
        <v>407</v>
      </c>
      <c r="E144" s="442" t="s">
        <v>17</v>
      </c>
      <c r="F144" s="442" t="s">
        <v>309</v>
      </c>
      <c r="G144" s="497">
        <v>0.25</v>
      </c>
      <c r="H144" s="448">
        <v>43217</v>
      </c>
      <c r="I144" s="448">
        <v>44313</v>
      </c>
      <c r="J144" s="449">
        <v>800000</v>
      </c>
      <c r="K144" s="449">
        <f>+SUMIF(ARS!$D:$D,Tabla4[[#This Row],[Emision]],ARS!$G:$G)</f>
        <v>0</v>
      </c>
      <c r="L144" s="449">
        <f>+SUMIF(USD!$D:$D,Tabla4[[#This Row],[Emision]],USD!$G:$G)</f>
        <v>0</v>
      </c>
      <c r="M144" s="449">
        <f>+Tabla4[[#This Row],[Valor Residual ARS]]*Tabla4[[#This Row],[% GARANTIZADO]]</f>
        <v>0</v>
      </c>
      <c r="N144" s="449">
        <f>+Tabla4[[#This Row],[Valor Residual USD]]*Tabla4[[#This Row],[% GARANTIZADO]]</f>
        <v>0</v>
      </c>
      <c r="O144" s="490" t="str">
        <f>+IF(Tabla4[[#This Row],[Valor Residual ARS]]&gt;0,CONCATENATE(Tabla4[[#This Row],[Tipo]],""),CONCATENATE(Tabla4[[#This Row],[Tipo]],"vencida"))</f>
        <v>ON Pyme CNV Garantizadavencida</v>
      </c>
      <c r="P144" s="490" t="str">
        <f>+IF(Tabla4[[#This Row],[Valor Residual USD]]&gt;0,CONCATENATE(Tabla4[[#This Row],[Tipo]],""),CONCATENATE(Tabla4[[#This Row],[Tipo]],"vencida"))</f>
        <v>ON Pyme CNV Garantizadavencida</v>
      </c>
    </row>
    <row r="145" spans="1:16" x14ac:dyDescent="0.25">
      <c r="A145" s="441" t="s">
        <v>186</v>
      </c>
      <c r="B145" s="441" t="s">
        <v>442</v>
      </c>
      <c r="C145" s="442" t="s">
        <v>183</v>
      </c>
      <c r="D145" s="443" t="s">
        <v>406</v>
      </c>
      <c r="E145" s="442" t="s">
        <v>17</v>
      </c>
      <c r="F145" s="442" t="s">
        <v>319</v>
      </c>
      <c r="G145" s="497">
        <v>0.5</v>
      </c>
      <c r="H145" s="448">
        <v>43318</v>
      </c>
      <c r="I145" s="448">
        <v>44049</v>
      </c>
      <c r="J145" s="449">
        <v>10000000</v>
      </c>
      <c r="K145" s="449">
        <f>+SUMIF(ARS!$D:$D,Tabla4[[#This Row],[Emision]],ARS!$G:$G)</f>
        <v>0</v>
      </c>
      <c r="L145" s="449">
        <f>+SUMIF(USD!$D:$D,Tabla4[[#This Row],[Emision]],USD!$G:$G)</f>
        <v>0</v>
      </c>
      <c r="M145" s="449">
        <f>+Tabla4[[#This Row],[Valor Residual ARS]]*Tabla4[[#This Row],[% GARANTIZADO]]</f>
        <v>0</v>
      </c>
      <c r="N145" s="449">
        <f>+Tabla4[[#This Row],[Valor Residual USD]]*Tabla4[[#This Row],[% GARANTIZADO]]</f>
        <v>0</v>
      </c>
      <c r="O145" s="490" t="str">
        <f>+IF(Tabla4[[#This Row],[Valor Residual ARS]]&gt;0,CONCATENATE(Tabla4[[#This Row],[Tipo]],""),CONCATENATE(Tabla4[[#This Row],[Tipo]],"vencida"))</f>
        <v>ON Pyme CNV Garantizadavencida</v>
      </c>
      <c r="P145" s="490" t="str">
        <f>+IF(Tabla4[[#This Row],[Valor Residual USD]]&gt;0,CONCATENATE(Tabla4[[#This Row],[Tipo]],""),CONCATENATE(Tabla4[[#This Row],[Tipo]],"vencida"))</f>
        <v>ON Pyme CNV Garantizadavencida</v>
      </c>
    </row>
    <row r="146" spans="1:16" x14ac:dyDescent="0.25">
      <c r="A146" s="441" t="s">
        <v>186</v>
      </c>
      <c r="B146" s="441" t="s">
        <v>442</v>
      </c>
      <c r="C146" s="442" t="s">
        <v>183</v>
      </c>
      <c r="D146" s="443" t="s">
        <v>406</v>
      </c>
      <c r="E146" s="442" t="s">
        <v>17</v>
      </c>
      <c r="F146" s="442" t="s">
        <v>313</v>
      </c>
      <c r="G146" s="497">
        <v>0.5</v>
      </c>
      <c r="H146" s="448">
        <v>43318</v>
      </c>
      <c r="I146" s="448">
        <v>44049</v>
      </c>
      <c r="J146" s="449">
        <v>10000000</v>
      </c>
      <c r="K146" s="449">
        <f>+SUMIF(ARS!$D:$D,Tabla4[[#This Row],[Emision]],ARS!$G:$G)</f>
        <v>0</v>
      </c>
      <c r="L146" s="449">
        <f>+SUMIF(USD!$D:$D,Tabla4[[#This Row],[Emision]],USD!$G:$G)</f>
        <v>0</v>
      </c>
      <c r="M146" s="449">
        <f>+Tabla4[[#This Row],[Valor Residual ARS]]*Tabla4[[#This Row],[% GARANTIZADO]]</f>
        <v>0</v>
      </c>
      <c r="N146" s="449">
        <f>+Tabla4[[#This Row],[Valor Residual USD]]*Tabla4[[#This Row],[% GARANTIZADO]]</f>
        <v>0</v>
      </c>
      <c r="O146" s="490" t="str">
        <f>+IF(Tabla4[[#This Row],[Valor Residual ARS]]&gt;0,CONCATENATE(Tabla4[[#This Row],[Tipo]],""),CONCATENATE(Tabla4[[#This Row],[Tipo]],"vencida"))</f>
        <v>ON Pyme CNV Garantizadavencida</v>
      </c>
      <c r="P146" s="490" t="str">
        <f>+IF(Tabla4[[#This Row],[Valor Residual USD]]&gt;0,CONCATENATE(Tabla4[[#This Row],[Tipo]],""),CONCATENATE(Tabla4[[#This Row],[Tipo]],"vencida"))</f>
        <v>ON Pyme CNV Garantizadavencida</v>
      </c>
    </row>
    <row r="147" spans="1:16" x14ac:dyDescent="0.25">
      <c r="A147" s="441" t="s">
        <v>186</v>
      </c>
      <c r="B147" s="441" t="s">
        <v>442</v>
      </c>
      <c r="C147" s="442" t="s">
        <v>184</v>
      </c>
      <c r="D147" s="443" t="s">
        <v>406</v>
      </c>
      <c r="E147" s="442" t="s">
        <v>17</v>
      </c>
      <c r="F147" s="442" t="s">
        <v>319</v>
      </c>
      <c r="G147" s="497">
        <v>0.5</v>
      </c>
      <c r="H147" s="448">
        <v>43437</v>
      </c>
      <c r="I147" s="448">
        <v>44168</v>
      </c>
      <c r="J147" s="449">
        <v>10000000</v>
      </c>
      <c r="K147" s="449">
        <f>+SUMIF(ARS!$D:$D,Tabla4[[#This Row],[Emision]],ARS!$G:$G)</f>
        <v>0</v>
      </c>
      <c r="L147" s="449">
        <f>+SUMIF(USD!$D:$D,Tabla4[[#This Row],[Emision]],USD!$G:$G)</f>
        <v>0</v>
      </c>
      <c r="M147" s="449">
        <f>+Tabla4[[#This Row],[Valor Residual ARS]]*Tabla4[[#This Row],[% GARANTIZADO]]</f>
        <v>0</v>
      </c>
      <c r="N147" s="449">
        <f>+Tabla4[[#This Row],[Valor Residual USD]]*Tabla4[[#This Row],[% GARANTIZADO]]</f>
        <v>0</v>
      </c>
      <c r="O147" s="490" t="str">
        <f>+IF(Tabla4[[#This Row],[Valor Residual ARS]]&gt;0,CONCATENATE(Tabla4[[#This Row],[Tipo]],""),CONCATENATE(Tabla4[[#This Row],[Tipo]],"vencida"))</f>
        <v>ON Pyme CNV Garantizadavencida</v>
      </c>
      <c r="P147" s="490" t="str">
        <f>+IF(Tabla4[[#This Row],[Valor Residual USD]]&gt;0,CONCATENATE(Tabla4[[#This Row],[Tipo]],""),CONCATENATE(Tabla4[[#This Row],[Tipo]],"vencida"))</f>
        <v>ON Pyme CNV Garantizadavencida</v>
      </c>
    </row>
    <row r="148" spans="1:16" x14ac:dyDescent="0.25">
      <c r="A148" s="441" t="s">
        <v>186</v>
      </c>
      <c r="B148" s="441" t="s">
        <v>442</v>
      </c>
      <c r="C148" s="442" t="s">
        <v>184</v>
      </c>
      <c r="D148" s="443" t="s">
        <v>406</v>
      </c>
      <c r="E148" s="442" t="s">
        <v>17</v>
      </c>
      <c r="F148" s="442" t="s">
        <v>313</v>
      </c>
      <c r="G148" s="497">
        <v>0.5</v>
      </c>
      <c r="H148" s="448">
        <v>43437</v>
      </c>
      <c r="I148" s="448">
        <v>44168</v>
      </c>
      <c r="J148" s="449">
        <v>10000000</v>
      </c>
      <c r="K148" s="449">
        <f>+SUMIF(ARS!$D:$D,Tabla4[[#This Row],[Emision]],ARS!$G:$G)</f>
        <v>0</v>
      </c>
      <c r="L148" s="449">
        <f>+SUMIF(USD!$D:$D,Tabla4[[#This Row],[Emision]],USD!$G:$G)</f>
        <v>0</v>
      </c>
      <c r="M148" s="449">
        <f>+Tabla4[[#This Row],[Valor Residual ARS]]*Tabla4[[#This Row],[% GARANTIZADO]]</f>
        <v>0</v>
      </c>
      <c r="N148" s="449">
        <f>+Tabla4[[#This Row],[Valor Residual USD]]*Tabla4[[#This Row],[% GARANTIZADO]]</f>
        <v>0</v>
      </c>
      <c r="O148" s="490" t="str">
        <f>+IF(Tabla4[[#This Row],[Valor Residual ARS]]&gt;0,CONCATENATE(Tabla4[[#This Row],[Tipo]],""),CONCATENATE(Tabla4[[#This Row],[Tipo]],"vencida"))</f>
        <v>ON Pyme CNV Garantizadavencida</v>
      </c>
      <c r="P148" s="490" t="str">
        <f>+IF(Tabla4[[#This Row],[Valor Residual USD]]&gt;0,CONCATENATE(Tabla4[[#This Row],[Tipo]],""),CONCATENATE(Tabla4[[#This Row],[Tipo]],"vencida"))</f>
        <v>ON Pyme CNV Garantizadavencida</v>
      </c>
    </row>
    <row r="149" spans="1:16" x14ac:dyDescent="0.25">
      <c r="A149" s="441" t="s">
        <v>186</v>
      </c>
      <c r="B149" s="441" t="s">
        <v>442</v>
      </c>
      <c r="C149" s="442" t="s">
        <v>185</v>
      </c>
      <c r="D149" s="443" t="s">
        <v>406</v>
      </c>
      <c r="E149" s="442" t="s">
        <v>17</v>
      </c>
      <c r="F149" s="442" t="s">
        <v>319</v>
      </c>
      <c r="G149" s="497">
        <v>0.25</v>
      </c>
      <c r="H149" s="448">
        <v>43524</v>
      </c>
      <c r="I149" s="448">
        <v>44255</v>
      </c>
      <c r="J149" s="449">
        <v>10000000</v>
      </c>
      <c r="K149" s="449">
        <f>+SUMIF(ARS!$D:$D,Tabla4[[#This Row],[Emision]],ARS!$G:$G)</f>
        <v>0</v>
      </c>
      <c r="L149" s="449">
        <f>+SUMIF(USD!$D:$D,Tabla4[[#This Row],[Emision]],USD!$G:$G)</f>
        <v>0</v>
      </c>
      <c r="M149" s="449">
        <f>+Tabla4[[#This Row],[Valor Residual ARS]]*Tabla4[[#This Row],[% GARANTIZADO]]</f>
        <v>0</v>
      </c>
      <c r="N149" s="449">
        <f>+Tabla4[[#This Row],[Valor Residual USD]]*Tabla4[[#This Row],[% GARANTIZADO]]</f>
        <v>0</v>
      </c>
      <c r="O149" s="490" t="str">
        <f>+IF(Tabla4[[#This Row],[Valor Residual ARS]]&gt;0,CONCATENATE(Tabla4[[#This Row],[Tipo]],""),CONCATENATE(Tabla4[[#This Row],[Tipo]],"vencida"))</f>
        <v>ON Pyme CNV Garantizadavencida</v>
      </c>
      <c r="P149" s="490" t="str">
        <f>+IF(Tabla4[[#This Row],[Valor Residual USD]]&gt;0,CONCATENATE(Tabla4[[#This Row],[Tipo]],""),CONCATENATE(Tabla4[[#This Row],[Tipo]],"vencida"))</f>
        <v>ON Pyme CNV Garantizadavencida</v>
      </c>
    </row>
    <row r="150" spans="1:16" x14ac:dyDescent="0.25">
      <c r="A150" s="441" t="s">
        <v>186</v>
      </c>
      <c r="B150" s="441" t="s">
        <v>442</v>
      </c>
      <c r="C150" s="442" t="s">
        <v>185</v>
      </c>
      <c r="D150" s="443" t="s">
        <v>406</v>
      </c>
      <c r="E150" s="442" t="s">
        <v>17</v>
      </c>
      <c r="F150" s="442" t="s">
        <v>313</v>
      </c>
      <c r="G150" s="497">
        <v>0.75</v>
      </c>
      <c r="H150" s="448">
        <v>43524</v>
      </c>
      <c r="I150" s="448">
        <v>44255</v>
      </c>
      <c r="J150" s="449">
        <v>10000000</v>
      </c>
      <c r="K150" s="449">
        <f>+SUMIF(ARS!$D:$D,Tabla4[[#This Row],[Emision]],ARS!$G:$G)</f>
        <v>0</v>
      </c>
      <c r="L150" s="449">
        <f>+SUMIF(USD!$D:$D,Tabla4[[#This Row],[Emision]],USD!$G:$G)</f>
        <v>0</v>
      </c>
      <c r="M150" s="449">
        <f>+Tabla4[[#This Row],[Valor Residual ARS]]*Tabla4[[#This Row],[% GARANTIZADO]]</f>
        <v>0</v>
      </c>
      <c r="N150" s="449">
        <f>+Tabla4[[#This Row],[Valor Residual USD]]*Tabla4[[#This Row],[% GARANTIZADO]]</f>
        <v>0</v>
      </c>
      <c r="O150" s="490" t="str">
        <f>+IF(Tabla4[[#This Row],[Valor Residual ARS]]&gt;0,CONCATENATE(Tabla4[[#This Row],[Tipo]],""),CONCATENATE(Tabla4[[#This Row],[Tipo]],"vencida"))</f>
        <v>ON Pyme CNV Garantizadavencida</v>
      </c>
      <c r="P150" s="490" t="str">
        <f>+IF(Tabla4[[#This Row],[Valor Residual USD]]&gt;0,CONCATENATE(Tabla4[[#This Row],[Tipo]],""),CONCATENATE(Tabla4[[#This Row],[Tipo]],"vencida"))</f>
        <v>ON Pyme CNV Garantizadavencida</v>
      </c>
    </row>
    <row r="151" spans="1:16" x14ac:dyDescent="0.25">
      <c r="A151" s="441" t="s">
        <v>186</v>
      </c>
      <c r="B151" s="441" t="s">
        <v>442</v>
      </c>
      <c r="C151" s="442" t="s">
        <v>364</v>
      </c>
      <c r="D151" s="443" t="s">
        <v>406</v>
      </c>
      <c r="E151" s="442" t="s">
        <v>17</v>
      </c>
      <c r="F151" s="442" t="s">
        <v>319</v>
      </c>
      <c r="G151" s="497">
        <v>0.4</v>
      </c>
      <c r="H151" s="448">
        <v>44617</v>
      </c>
      <c r="I151" s="448">
        <v>45347</v>
      </c>
      <c r="J151" s="449">
        <v>50000000</v>
      </c>
      <c r="K151" s="449">
        <f>+SUMIF(ARS!$D:$D,Tabla4[[#This Row],[Emision]],ARS!$G:$G)</f>
        <v>0</v>
      </c>
      <c r="L151" s="449">
        <f>+SUMIF(USD!$D:$D,Tabla4[[#This Row],[Emision]],USD!$G:$G)</f>
        <v>0</v>
      </c>
      <c r="M151" s="449">
        <f>+Tabla4[[#This Row],[Valor Residual ARS]]*Tabla4[[#This Row],[% GARANTIZADO]]</f>
        <v>0</v>
      </c>
      <c r="N151" s="449">
        <f>+Tabla4[[#This Row],[Valor Residual USD]]*Tabla4[[#This Row],[% GARANTIZADO]]</f>
        <v>0</v>
      </c>
      <c r="O151" s="490" t="str">
        <f>+IF(Tabla4[[#This Row],[Valor Residual ARS]]&gt;0,CONCATENATE(Tabla4[[#This Row],[Tipo]],""),CONCATENATE(Tabla4[[#This Row],[Tipo]],"vencida"))</f>
        <v>ON Pyme CNV Garantizadavencida</v>
      </c>
      <c r="P151" s="490" t="str">
        <f>+IF(Tabla4[[#This Row],[Valor Residual USD]]&gt;0,CONCATENATE(Tabla4[[#This Row],[Tipo]],""),CONCATENATE(Tabla4[[#This Row],[Tipo]],"vencida"))</f>
        <v>ON Pyme CNV Garantizadavencida</v>
      </c>
    </row>
    <row r="152" spans="1:16" x14ac:dyDescent="0.25">
      <c r="A152" s="441" t="s">
        <v>186</v>
      </c>
      <c r="B152" s="441" t="s">
        <v>442</v>
      </c>
      <c r="C152" s="442" t="s">
        <v>364</v>
      </c>
      <c r="D152" s="443" t="s">
        <v>406</v>
      </c>
      <c r="E152" s="442" t="s">
        <v>17</v>
      </c>
      <c r="F152" s="442" t="s">
        <v>313</v>
      </c>
      <c r="G152" s="497">
        <v>0.6</v>
      </c>
      <c r="H152" s="448">
        <v>44617</v>
      </c>
      <c r="I152" s="448">
        <v>45347</v>
      </c>
      <c r="J152" s="449">
        <v>50000000</v>
      </c>
      <c r="K152" s="449">
        <f>+SUMIF(ARS!$D:$D,Tabla4[[#This Row],[Emision]],ARS!$G:$G)</f>
        <v>0</v>
      </c>
      <c r="L152" s="449">
        <f>+SUMIF(USD!$D:$D,Tabla4[[#This Row],[Emision]],USD!$G:$G)</f>
        <v>0</v>
      </c>
      <c r="M152" s="449">
        <f>+Tabla4[[#This Row],[Valor Residual ARS]]*Tabla4[[#This Row],[% GARANTIZADO]]</f>
        <v>0</v>
      </c>
      <c r="N152" s="449">
        <f>+Tabla4[[#This Row],[Valor Residual USD]]*Tabla4[[#This Row],[% GARANTIZADO]]</f>
        <v>0</v>
      </c>
      <c r="O152" s="490" t="str">
        <f>+IF(Tabla4[[#This Row],[Valor Residual ARS]]&gt;0,CONCATENATE(Tabla4[[#This Row],[Tipo]],""),CONCATENATE(Tabla4[[#This Row],[Tipo]],"vencida"))</f>
        <v>ON Pyme CNV Garantizadavencida</v>
      </c>
      <c r="P152" s="490" t="str">
        <f>+IF(Tabla4[[#This Row],[Valor Residual USD]]&gt;0,CONCATENATE(Tabla4[[#This Row],[Tipo]],""),CONCATENATE(Tabla4[[#This Row],[Tipo]],"vencida"))</f>
        <v>ON Pyme CNV Garantizadavencida</v>
      </c>
    </row>
    <row r="153" spans="1:16" x14ac:dyDescent="0.25">
      <c r="A153" s="441" t="s">
        <v>74</v>
      </c>
      <c r="B153" s="441" t="s">
        <v>443</v>
      </c>
      <c r="C153" s="442" t="s">
        <v>73</v>
      </c>
      <c r="D153" s="443" t="s">
        <v>406</v>
      </c>
      <c r="E153" s="442" t="s">
        <v>17</v>
      </c>
      <c r="F153" s="442" t="s">
        <v>309</v>
      </c>
      <c r="G153" s="497">
        <v>0.18</v>
      </c>
      <c r="H153" s="448">
        <v>43270</v>
      </c>
      <c r="I153" s="448">
        <v>44366</v>
      </c>
      <c r="J153" s="449">
        <v>25000000</v>
      </c>
      <c r="K153" s="449">
        <f>+SUMIF(ARS!$D:$D,Tabla4[[#This Row],[Emision]],ARS!$G:$G)</f>
        <v>0</v>
      </c>
      <c r="L153" s="449">
        <f>+SUMIF(USD!$D:$D,Tabla4[[#This Row],[Emision]],USD!$G:$G)</f>
        <v>0</v>
      </c>
      <c r="M153" s="449">
        <f>+Tabla4[[#This Row],[Valor Residual ARS]]*Tabla4[[#This Row],[% GARANTIZADO]]</f>
        <v>0</v>
      </c>
      <c r="N153" s="449">
        <f>+Tabla4[[#This Row],[Valor Residual USD]]*Tabla4[[#This Row],[% GARANTIZADO]]</f>
        <v>0</v>
      </c>
      <c r="O153" s="490" t="str">
        <f>+IF(Tabla4[[#This Row],[Valor Residual ARS]]&gt;0,CONCATENATE(Tabla4[[#This Row],[Tipo]],""),CONCATENATE(Tabla4[[#This Row],[Tipo]],"vencida"))</f>
        <v>ON Pyme CNV Garantizadavencida</v>
      </c>
      <c r="P153" s="490" t="str">
        <f>+IF(Tabla4[[#This Row],[Valor Residual USD]]&gt;0,CONCATENATE(Tabla4[[#This Row],[Tipo]],""),CONCATENATE(Tabla4[[#This Row],[Tipo]],"vencida"))</f>
        <v>ON Pyme CNV Garantizadavencida</v>
      </c>
    </row>
    <row r="154" spans="1:16" x14ac:dyDescent="0.25">
      <c r="A154" s="441" t="s">
        <v>74</v>
      </c>
      <c r="B154" s="441" t="s">
        <v>443</v>
      </c>
      <c r="C154" s="442" t="s">
        <v>73</v>
      </c>
      <c r="D154" s="443" t="s">
        <v>406</v>
      </c>
      <c r="E154" s="442" t="s">
        <v>17</v>
      </c>
      <c r="F154" s="442" t="s">
        <v>308</v>
      </c>
      <c r="G154" s="497">
        <v>0.3</v>
      </c>
      <c r="H154" s="448">
        <v>43270</v>
      </c>
      <c r="I154" s="448">
        <v>44366</v>
      </c>
      <c r="J154" s="449">
        <v>25000000</v>
      </c>
      <c r="K154" s="449">
        <f>+SUMIF(ARS!$D:$D,Tabla4[[#This Row],[Emision]],ARS!$G:$G)</f>
        <v>0</v>
      </c>
      <c r="L154" s="449">
        <f>+SUMIF(USD!$D:$D,Tabla4[[#This Row],[Emision]],USD!$G:$G)</f>
        <v>0</v>
      </c>
      <c r="M154" s="449">
        <f>+Tabla4[[#This Row],[Valor Residual ARS]]*Tabla4[[#This Row],[% GARANTIZADO]]</f>
        <v>0</v>
      </c>
      <c r="N154" s="449">
        <f>+Tabla4[[#This Row],[Valor Residual USD]]*Tabla4[[#This Row],[% GARANTIZADO]]</f>
        <v>0</v>
      </c>
      <c r="O154" s="490" t="str">
        <f>+IF(Tabla4[[#This Row],[Valor Residual ARS]]&gt;0,CONCATENATE(Tabla4[[#This Row],[Tipo]],""),CONCATENATE(Tabla4[[#This Row],[Tipo]],"vencida"))</f>
        <v>ON Pyme CNV Garantizadavencida</v>
      </c>
      <c r="P154" s="490" t="str">
        <f>+IF(Tabla4[[#This Row],[Valor Residual USD]]&gt;0,CONCATENATE(Tabla4[[#This Row],[Tipo]],""),CONCATENATE(Tabla4[[#This Row],[Tipo]],"vencida"))</f>
        <v>ON Pyme CNV Garantizadavencida</v>
      </c>
    </row>
    <row r="155" spans="1:16" x14ac:dyDescent="0.25">
      <c r="A155" s="441" t="s">
        <v>74</v>
      </c>
      <c r="B155" s="441" t="s">
        <v>443</v>
      </c>
      <c r="C155" s="442" t="s">
        <v>73</v>
      </c>
      <c r="D155" s="443" t="s">
        <v>406</v>
      </c>
      <c r="E155" s="442" t="s">
        <v>17</v>
      </c>
      <c r="F155" s="444" t="s">
        <v>289</v>
      </c>
      <c r="G155" s="497">
        <v>0.52</v>
      </c>
      <c r="H155" s="448">
        <v>43270</v>
      </c>
      <c r="I155" s="448">
        <v>44366</v>
      </c>
      <c r="J155" s="449">
        <v>25000000</v>
      </c>
      <c r="K155" s="449">
        <f>+SUMIF(ARS!$D:$D,Tabla4[[#This Row],[Emision]],ARS!$G:$G)</f>
        <v>0</v>
      </c>
      <c r="L155" s="449">
        <f>+SUMIF(USD!$D:$D,Tabla4[[#This Row],[Emision]],USD!$G:$G)</f>
        <v>0</v>
      </c>
      <c r="M155" s="449">
        <f>+Tabla4[[#This Row],[Valor Residual ARS]]*Tabla4[[#This Row],[% GARANTIZADO]]</f>
        <v>0</v>
      </c>
      <c r="N155" s="449">
        <f>+Tabla4[[#This Row],[Valor Residual USD]]*Tabla4[[#This Row],[% GARANTIZADO]]</f>
        <v>0</v>
      </c>
      <c r="O155" s="490" t="str">
        <f>+IF(Tabla4[[#This Row],[Valor Residual ARS]]&gt;0,CONCATENATE(Tabla4[[#This Row],[Tipo]],""),CONCATENATE(Tabla4[[#This Row],[Tipo]],"vencida"))</f>
        <v>ON Pyme CNV Garantizadavencida</v>
      </c>
      <c r="P155" s="490" t="str">
        <f>+IF(Tabla4[[#This Row],[Valor Residual USD]]&gt;0,CONCATENATE(Tabla4[[#This Row],[Tipo]],""),CONCATENATE(Tabla4[[#This Row],[Tipo]],"vencida"))</f>
        <v>ON Pyme CNV Garantizadavencida</v>
      </c>
    </row>
    <row r="156" spans="1:16" x14ac:dyDescent="0.25">
      <c r="A156" s="441" t="s">
        <v>74</v>
      </c>
      <c r="B156" s="441" t="s">
        <v>443</v>
      </c>
      <c r="C156" s="442" t="s">
        <v>370</v>
      </c>
      <c r="D156" s="443" t="s">
        <v>406</v>
      </c>
      <c r="E156" s="442" t="s">
        <v>17</v>
      </c>
      <c r="F156" s="442" t="s">
        <v>309</v>
      </c>
      <c r="G156" s="497">
        <v>1</v>
      </c>
      <c r="H156" s="448">
        <v>44680</v>
      </c>
      <c r="I156" s="448">
        <v>45776</v>
      </c>
      <c r="J156" s="449">
        <v>65000000</v>
      </c>
      <c r="K156" s="449">
        <f>+SUMIF(ARS!$D:$D,Tabla4[[#This Row],[Emision]],ARS!$G:$G)</f>
        <v>0</v>
      </c>
      <c r="L156" s="449">
        <f>+SUMIF(USD!$D:$D,Tabla4[[#This Row],[Emision]],USD!$G:$G)</f>
        <v>0</v>
      </c>
      <c r="M156" s="449">
        <f>+Tabla4[[#This Row],[Valor Residual ARS]]*Tabla4[[#This Row],[% GARANTIZADO]]</f>
        <v>0</v>
      </c>
      <c r="N156" s="449">
        <f>+Tabla4[[#This Row],[Valor Residual USD]]*Tabla4[[#This Row],[% GARANTIZADO]]</f>
        <v>0</v>
      </c>
      <c r="O156" s="490" t="str">
        <f>+IF(Tabla4[[#This Row],[Valor Residual ARS]]&gt;0,CONCATENATE(Tabla4[[#This Row],[Tipo]],""),CONCATENATE(Tabla4[[#This Row],[Tipo]],"vencida"))</f>
        <v>ON Pyme CNV Garantizadavencida</v>
      </c>
      <c r="P156" s="490" t="str">
        <f>+IF(Tabla4[[#This Row],[Valor Residual USD]]&gt;0,CONCATENATE(Tabla4[[#This Row],[Tipo]],""),CONCATENATE(Tabla4[[#This Row],[Tipo]],"vencida"))</f>
        <v>ON Pyme CNV Garantizadavencida</v>
      </c>
    </row>
    <row r="157" spans="1:16" x14ac:dyDescent="0.25">
      <c r="A157" s="441" t="s">
        <v>187</v>
      </c>
      <c r="B157" s="441" t="s">
        <v>506</v>
      </c>
      <c r="C157" s="442" t="s">
        <v>190</v>
      </c>
      <c r="D157" s="443" t="s">
        <v>406</v>
      </c>
      <c r="E157" s="442" t="s">
        <v>17</v>
      </c>
      <c r="F157" s="442" t="s">
        <v>309</v>
      </c>
      <c r="G157" s="497">
        <v>1</v>
      </c>
      <c r="H157" s="448">
        <v>43395</v>
      </c>
      <c r="I157" s="448">
        <v>44491</v>
      </c>
      <c r="J157" s="449">
        <v>3500000</v>
      </c>
      <c r="K157" s="449">
        <f>+SUMIF(ARS!$D:$D,Tabla4[[#This Row],[Emision]],ARS!$G:$G)</f>
        <v>0</v>
      </c>
      <c r="L157" s="449">
        <f>+SUMIF(USD!$D:$D,Tabla4[[#This Row],[Emision]],USD!$G:$G)</f>
        <v>0</v>
      </c>
      <c r="M157" s="449">
        <f>+Tabla4[[#This Row],[Valor Residual ARS]]*Tabla4[[#This Row],[% GARANTIZADO]]</f>
        <v>0</v>
      </c>
      <c r="N157" s="449">
        <f>+Tabla4[[#This Row],[Valor Residual USD]]*Tabla4[[#This Row],[% GARANTIZADO]]</f>
        <v>0</v>
      </c>
      <c r="O157" s="490" t="str">
        <f>+IF(Tabla4[[#This Row],[Valor Residual ARS]]&gt;0,CONCATENATE(Tabla4[[#This Row],[Tipo]],""),CONCATENATE(Tabla4[[#This Row],[Tipo]],"vencida"))</f>
        <v>ON Pyme CNV Garantizadavencida</v>
      </c>
      <c r="P157" s="490" t="str">
        <f>+IF(Tabla4[[#This Row],[Valor Residual USD]]&gt;0,CONCATENATE(Tabla4[[#This Row],[Tipo]],""),CONCATENATE(Tabla4[[#This Row],[Tipo]],"vencida"))</f>
        <v>ON Pyme CNV Garantizadavencida</v>
      </c>
    </row>
    <row r="158" spans="1:16" x14ac:dyDescent="0.25">
      <c r="A158" s="441" t="s">
        <v>218</v>
      </c>
      <c r="B158" s="441" t="s">
        <v>507</v>
      </c>
      <c r="C158" s="442" t="s">
        <v>211</v>
      </c>
      <c r="D158" s="443" t="s">
        <v>406</v>
      </c>
      <c r="E158" s="442" t="s">
        <v>17</v>
      </c>
      <c r="F158" s="442" t="s">
        <v>325</v>
      </c>
      <c r="G158" s="497">
        <v>1</v>
      </c>
      <c r="H158" s="448">
        <v>43850</v>
      </c>
      <c r="I158" s="448">
        <v>44397</v>
      </c>
      <c r="J158" s="449">
        <v>3000000</v>
      </c>
      <c r="K158" s="449">
        <f>+SUMIF(ARS!$D:$D,Tabla4[[#This Row],[Emision]],ARS!$G:$G)</f>
        <v>0</v>
      </c>
      <c r="L158" s="449">
        <f>+SUMIF(USD!$D:$D,Tabla4[[#This Row],[Emision]],USD!$G:$G)</f>
        <v>0</v>
      </c>
      <c r="M158" s="449">
        <f>+Tabla4[[#This Row],[Valor Residual ARS]]*Tabla4[[#This Row],[% GARANTIZADO]]</f>
        <v>0</v>
      </c>
      <c r="N158" s="449">
        <f>+Tabla4[[#This Row],[Valor Residual USD]]*Tabla4[[#This Row],[% GARANTIZADO]]</f>
        <v>0</v>
      </c>
      <c r="O158" s="490" t="str">
        <f>+IF(Tabla4[[#This Row],[Valor Residual ARS]]&gt;0,CONCATENATE(Tabla4[[#This Row],[Tipo]],""),CONCATENATE(Tabla4[[#This Row],[Tipo]],"vencida"))</f>
        <v>ON Pyme CNV Garantizadavencida</v>
      </c>
      <c r="P158" s="490" t="str">
        <f>+IF(Tabla4[[#This Row],[Valor Residual USD]]&gt;0,CONCATENATE(Tabla4[[#This Row],[Tipo]],""),CONCATENATE(Tabla4[[#This Row],[Tipo]],"vencida"))</f>
        <v>ON Pyme CNV Garantizadavencida</v>
      </c>
    </row>
    <row r="159" spans="1:16" x14ac:dyDescent="0.25">
      <c r="A159" s="441" t="s">
        <v>216</v>
      </c>
      <c r="B159" s="441" t="s">
        <v>508</v>
      </c>
      <c r="C159" s="442" t="s">
        <v>212</v>
      </c>
      <c r="D159" s="443" t="s">
        <v>406</v>
      </c>
      <c r="E159" s="442" t="s">
        <v>17</v>
      </c>
      <c r="F159" s="442" t="s">
        <v>309</v>
      </c>
      <c r="G159" s="497">
        <v>1</v>
      </c>
      <c r="H159" s="448">
        <v>43825</v>
      </c>
      <c r="I159" s="448">
        <v>44556</v>
      </c>
      <c r="J159" s="449">
        <v>4000000</v>
      </c>
      <c r="K159" s="449">
        <f>+SUMIF(ARS!$D:$D,Tabla4[[#This Row],[Emision]],ARS!$G:$G)</f>
        <v>0</v>
      </c>
      <c r="L159" s="449">
        <f>+SUMIF(USD!$D:$D,Tabla4[[#This Row],[Emision]],USD!$G:$G)</f>
        <v>0</v>
      </c>
      <c r="M159" s="449">
        <f>+Tabla4[[#This Row],[Valor Residual ARS]]*Tabla4[[#This Row],[% GARANTIZADO]]</f>
        <v>0</v>
      </c>
      <c r="N159" s="449">
        <f>+Tabla4[[#This Row],[Valor Residual USD]]*Tabla4[[#This Row],[% GARANTIZADO]]</f>
        <v>0</v>
      </c>
      <c r="O159" s="490" t="str">
        <f>+IF(Tabla4[[#This Row],[Valor Residual ARS]]&gt;0,CONCATENATE(Tabla4[[#This Row],[Tipo]],""),CONCATENATE(Tabla4[[#This Row],[Tipo]],"vencida"))</f>
        <v>ON Pyme CNV Garantizadavencida</v>
      </c>
      <c r="P159" s="490" t="str">
        <f>+IF(Tabla4[[#This Row],[Valor Residual USD]]&gt;0,CONCATENATE(Tabla4[[#This Row],[Tipo]],""),CONCATENATE(Tabla4[[#This Row],[Tipo]],"vencida"))</f>
        <v>ON Pyme CNV Garantizadavencida</v>
      </c>
    </row>
    <row r="160" spans="1:16" x14ac:dyDescent="0.25">
      <c r="A160" s="445" t="s">
        <v>189</v>
      </c>
      <c r="B160" s="445" t="s">
        <v>444</v>
      </c>
      <c r="C160" s="446" t="s">
        <v>188</v>
      </c>
      <c r="D160" s="447" t="s">
        <v>406</v>
      </c>
      <c r="E160" s="446" t="s">
        <v>17</v>
      </c>
      <c r="F160" s="446" t="s">
        <v>309</v>
      </c>
      <c r="G160" s="533">
        <v>1</v>
      </c>
      <c r="H160" s="452">
        <v>43479</v>
      </c>
      <c r="I160" s="452">
        <v>44575</v>
      </c>
      <c r="J160" s="453">
        <v>8000000</v>
      </c>
      <c r="K160" s="453">
        <f>+SUMIF(ARS!$D:$D,Tabla4[[#This Row],[Emision]],ARS!$G:$G)</f>
        <v>0</v>
      </c>
      <c r="L160" s="449">
        <f>+SUMIF(USD!$D:$D,Tabla4[[#This Row],[Emision]],USD!$G:$G)</f>
        <v>0</v>
      </c>
      <c r="M160" s="453">
        <f>+Tabla4[[#This Row],[Valor Residual ARS]]*Tabla4[[#This Row],[% GARANTIZADO]]</f>
        <v>0</v>
      </c>
      <c r="N160" s="453">
        <f>+Tabla4[[#This Row],[Valor Residual USD]]*Tabla4[[#This Row],[% GARANTIZADO]]</f>
        <v>0</v>
      </c>
      <c r="O160" s="491" t="str">
        <f>+IF(Tabla4[[#This Row],[Valor Residual ARS]]&gt;0,CONCATENATE(Tabla4[[#This Row],[Tipo]],""),CONCATENATE(Tabla4[[#This Row],[Tipo]],"vencida"))</f>
        <v>ON Pyme CNV Garantizadavencida</v>
      </c>
      <c r="P160" s="491" t="str">
        <f>+IF(Tabla4[[#This Row],[Valor Residual USD]]&gt;0,CONCATENATE(Tabla4[[#This Row],[Tipo]],""),CONCATENATE(Tabla4[[#This Row],[Tipo]],"vencida"))</f>
        <v>ON Pyme CNV Garantizadavencida</v>
      </c>
    </row>
    <row r="161" spans="1:16" x14ac:dyDescent="0.25">
      <c r="A161" s="445" t="s">
        <v>189</v>
      </c>
      <c r="B161" s="445" t="s">
        <v>444</v>
      </c>
      <c r="C161" s="446" t="s">
        <v>378</v>
      </c>
      <c r="D161" s="447" t="s">
        <v>406</v>
      </c>
      <c r="E161" s="446" t="s">
        <v>17</v>
      </c>
      <c r="F161" s="442" t="s">
        <v>287</v>
      </c>
      <c r="G161" s="533">
        <v>0.5</v>
      </c>
      <c r="H161" s="452">
        <v>44760</v>
      </c>
      <c r="I161" s="452">
        <v>45491</v>
      </c>
      <c r="J161" s="453">
        <v>40000000</v>
      </c>
      <c r="K161" s="453">
        <f>+SUMIF(ARS!$D:$D,Tabla4[[#This Row],[Emision]],ARS!$G:$G)</f>
        <v>0</v>
      </c>
      <c r="L161" s="449">
        <f>+SUMIF(USD!$D:$D,Tabla4[[#This Row],[Emision]],USD!$G:$G)</f>
        <v>0</v>
      </c>
      <c r="M161" s="453">
        <f>+Tabla4[[#This Row],[Valor Residual ARS]]*Tabla4[[#This Row],[% GARANTIZADO]]</f>
        <v>0</v>
      </c>
      <c r="N161" s="453">
        <f>+Tabla4[[#This Row],[Valor Residual USD]]*Tabla4[[#This Row],[% GARANTIZADO]]</f>
        <v>0</v>
      </c>
      <c r="O161" s="491" t="str">
        <f>+IF(Tabla4[[#This Row],[Valor Residual ARS]]&gt;0,CONCATENATE(Tabla4[[#This Row],[Tipo]],""),CONCATENATE(Tabla4[[#This Row],[Tipo]],"vencida"))</f>
        <v>ON Pyme CNV Garantizadavencida</v>
      </c>
      <c r="P161" s="491" t="str">
        <f>+IF(Tabla4[[#This Row],[Valor Residual USD]]&gt;0,CONCATENATE(Tabla4[[#This Row],[Tipo]],""),CONCATENATE(Tabla4[[#This Row],[Tipo]],"vencida"))</f>
        <v>ON Pyme CNV Garantizadavencida</v>
      </c>
    </row>
    <row r="162" spans="1:16" x14ac:dyDescent="0.25">
      <c r="A162" s="445" t="s">
        <v>189</v>
      </c>
      <c r="B162" s="445" t="s">
        <v>444</v>
      </c>
      <c r="C162" s="446" t="s">
        <v>378</v>
      </c>
      <c r="D162" s="447" t="s">
        <v>406</v>
      </c>
      <c r="E162" s="446" t="s">
        <v>17</v>
      </c>
      <c r="F162" s="446" t="s">
        <v>293</v>
      </c>
      <c r="G162" s="533">
        <v>0.5</v>
      </c>
      <c r="H162" s="452">
        <v>44760</v>
      </c>
      <c r="I162" s="452">
        <v>45491</v>
      </c>
      <c r="J162" s="453">
        <v>40000000</v>
      </c>
      <c r="K162" s="453">
        <f>+SUMIF(ARS!$D:$D,Tabla4[[#This Row],[Emision]],ARS!$G:$G)</f>
        <v>0</v>
      </c>
      <c r="L162" s="449">
        <f>+SUMIF(USD!$D:$D,Tabla4[[#This Row],[Emision]],USD!$G:$G)</f>
        <v>0</v>
      </c>
      <c r="M162" s="453">
        <f>+Tabla4[[#This Row],[Valor Residual ARS]]*Tabla4[[#This Row],[% GARANTIZADO]]</f>
        <v>0</v>
      </c>
      <c r="N162" s="453">
        <f>+Tabla4[[#This Row],[Valor Residual USD]]*Tabla4[[#This Row],[% GARANTIZADO]]</f>
        <v>0</v>
      </c>
      <c r="O162" s="491" t="str">
        <f>+IF(Tabla4[[#This Row],[Valor Residual ARS]]&gt;0,CONCATENATE(Tabla4[[#This Row],[Tipo]],""),CONCATENATE(Tabla4[[#This Row],[Tipo]],"vencida"))</f>
        <v>ON Pyme CNV Garantizadavencida</v>
      </c>
      <c r="P162" s="491" t="str">
        <f>+IF(Tabla4[[#This Row],[Valor Residual USD]]&gt;0,CONCATENATE(Tabla4[[#This Row],[Tipo]],""),CONCATENATE(Tabla4[[#This Row],[Tipo]],"vencida"))</f>
        <v>ON Pyme CNV Garantizadavencida</v>
      </c>
    </row>
    <row r="163" spans="1:16" x14ac:dyDescent="0.25">
      <c r="A163" s="445" t="s">
        <v>268</v>
      </c>
      <c r="B163" s="445"/>
      <c r="C163" s="446"/>
      <c r="D163" s="447"/>
      <c r="E163" s="447">
        <f>SUBTOTAL(103,Tabla4[Tipo])</f>
        <v>161</v>
      </c>
      <c r="F163" s="447"/>
      <c r="G163" s="512"/>
      <c r="H163" s="447"/>
      <c r="I163" s="447"/>
      <c r="J163" s="453">
        <f>SUBTOTAL(109,Tabla4[[Valor Nominal ]])</f>
        <v>3468216250</v>
      </c>
      <c r="K163" s="453">
        <f ca="1">SUBTOTAL(109,Tabla4[Valor Residual ARS])</f>
        <v>200000000.37857622</v>
      </c>
      <c r="L163" s="453">
        <f>SUBTOTAL(109,Tabla4[Valor Residual USD])</f>
        <v>5577607.293333333</v>
      </c>
      <c r="M163" s="453"/>
      <c r="N163" s="453"/>
      <c r="O163" s="453"/>
      <c r="P163" s="513"/>
    </row>
    <row r="165" spans="1:16" x14ac:dyDescent="0.25">
      <c r="O165" s="478"/>
    </row>
    <row r="166" spans="1:16" x14ac:dyDescent="0.25">
      <c r="O166" s="478"/>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3f11db4-a96c-41b4-b8ec-902c72f52048" xsi:nil="true"/>
    <lcf76f155ced4ddcb4097134ff3c332f xmlns="77131357-5c03-45fa-a80b-b9111bb46cb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6CA5EAACE9DA04D9E421A617A76D009" ma:contentTypeVersion="16" ma:contentTypeDescription="Crear nuevo documento." ma:contentTypeScope="" ma:versionID="5740b416cdeec9657a66a7e5c2fba05e">
  <xsd:schema xmlns:xsd="http://www.w3.org/2001/XMLSchema" xmlns:xs="http://www.w3.org/2001/XMLSchema" xmlns:p="http://schemas.microsoft.com/office/2006/metadata/properties" xmlns:ns2="77131357-5c03-45fa-a80b-b9111bb46cb1" xmlns:ns3="d3f11db4-a96c-41b4-b8ec-902c72f52048" targetNamespace="http://schemas.microsoft.com/office/2006/metadata/properties" ma:root="true" ma:fieldsID="a2ca1ebf39c69a90faf4171ead0a89a8" ns2:_="" ns3:_="">
    <xsd:import namespace="77131357-5c03-45fa-a80b-b9111bb46cb1"/>
    <xsd:import namespace="d3f11db4-a96c-41b4-b8ec-902c72f5204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131357-5c03-45fa-a80b-b9111bb46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6ab20cb4-9c0f-41d2-89f3-02c382a657d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f11db4-a96c-41b4-b8ec-902c72f52048"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c18fc038-4aba-472f-a25a-994f3cc033b8}" ma:internalName="TaxCatchAll" ma:showField="CatchAllData" ma:web="d3f11db4-a96c-41b4-b8ec-902c72f5204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216183-41E4-4024-8F5E-B82B159985CF}">
  <ds:schemaRefs>
    <ds:schemaRef ds:uri="http://schemas.microsoft.com/office/2006/metadata/properties"/>
    <ds:schemaRef ds:uri="http://schemas.microsoft.com/office/infopath/2007/PartnerControls"/>
    <ds:schemaRef ds:uri="d3f11db4-a96c-41b4-b8ec-902c72f52048"/>
    <ds:schemaRef ds:uri="77131357-5c03-45fa-a80b-b9111bb46cb1"/>
  </ds:schemaRefs>
</ds:datastoreItem>
</file>

<file path=customXml/itemProps2.xml><?xml version="1.0" encoding="utf-8"?>
<ds:datastoreItem xmlns:ds="http://schemas.openxmlformats.org/officeDocument/2006/customXml" ds:itemID="{9F5FF793-8C94-4341-B41B-7903FBAA5083}">
  <ds:schemaRefs>
    <ds:schemaRef ds:uri="http://schemas.microsoft.com/sharepoint/v3/contenttype/forms"/>
  </ds:schemaRefs>
</ds:datastoreItem>
</file>

<file path=customXml/itemProps3.xml><?xml version="1.0" encoding="utf-8"?>
<ds:datastoreItem xmlns:ds="http://schemas.openxmlformats.org/officeDocument/2006/customXml" ds:itemID="{08B3E44E-28A6-4DED-8AFD-21163F27EB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131357-5c03-45fa-a80b-b9111bb46cb1"/>
    <ds:schemaRef ds:uri="d3f11db4-a96c-41b4-b8ec-902c72f520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Reporte</vt:lpstr>
      <vt:lpstr>Reporte - Oscuro</vt:lpstr>
      <vt:lpstr>SGR TD</vt:lpstr>
      <vt:lpstr>ENTIDADES DE GARANTIA</vt:lpstr>
      <vt:lpstr>ARS</vt:lpstr>
      <vt:lpstr>USD</vt:lpstr>
      <vt:lpstr>Ej-ARS</vt:lpstr>
      <vt:lpstr>Ej-USD</vt:lpstr>
      <vt:lpstr>Datos</vt:lpstr>
      <vt:lpstr>Tasas-TC</vt:lpstr>
      <vt:lpstr>Análisis</vt:lpstr>
    </vt:vector>
  </TitlesOfParts>
  <Company>Bolsa de Comercio de Rosario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Zubillaga, Julian</dc:creator>
  <cp:lastModifiedBy>Giangreco, Florencia</cp:lastModifiedBy>
  <cp:lastPrinted>2020-04-23T00:13:13Z</cp:lastPrinted>
  <dcterms:created xsi:type="dcterms:W3CDTF">2020-04-03T16:10:14Z</dcterms:created>
  <dcterms:modified xsi:type="dcterms:W3CDTF">2025-07-24T14:49:11Z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0x010100D6CA5EAACE9DA04D9E421A617A76D009</vt:lpwstr>
  </property>
  <property fmtid="{D5CDD505-2E9C-101B-9397-08002B2CF9AE}" pid="3" name="MediaServiceImageTags">
    <vt:lpwstr/>
  </property>
</Properties>
</file>